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SMpyNzhooEwwCrsfiO8SEEL72VVPpF39Qe34oVE3IPntUUGcmMC7oSG3szZC/1UDbYZPvuvJuJHpIbOIF4Y76A==" workbookSaltValue="lmoMS34K3EQNOw+O6sZs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L12" i="14"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BF17" i="8"/>
  <c r="AB19" i="19"/>
  <c r="BF9" i="13"/>
  <c r="ER19" i="8"/>
  <c r="EL19" i="8"/>
  <c r="EQ19" i="8"/>
  <c r="AP12" i="11"/>
  <c r="Y11" i="11"/>
  <c r="AT18" i="17"/>
  <c r="N10" i="11"/>
  <c r="N9" i="11"/>
  <c r="T10" i="21"/>
  <c r="F10" i="10"/>
  <c r="N11" i="11"/>
  <c r="ES19" i="8"/>
  <c r="C18" i="7"/>
  <c r="S19" i="13"/>
  <c r="AG19" i="19"/>
  <c r="F9" i="11"/>
  <c r="CI19" i="8"/>
  <c r="AE19" i="8"/>
  <c r="F17" i="16"/>
  <c r="BL17" i="16" s="1"/>
  <c r="EP19" i="8"/>
  <c r="ER19" i="13"/>
  <c r="AL13" i="16"/>
  <c r="BL9" i="11"/>
  <c r="P17" i="17"/>
  <c r="BK9" i="11"/>
  <c r="S13" i="16"/>
  <c r="H18" i="16"/>
  <c r="P13" i="16"/>
  <c r="AN13" i="20"/>
  <c r="F15" i="17"/>
  <c r="Z13" i="17"/>
  <c r="F17" i="17"/>
  <c r="AQ17" i="17" s="1"/>
  <c r="C17" i="6"/>
  <c r="B12" i="6"/>
  <c r="E11" i="6"/>
  <c r="AC10" i="11"/>
  <c r="BM12" i="11"/>
  <c r="BJ15" i="11"/>
  <c r="R17" i="20"/>
  <c r="R18" i="20" s="1"/>
  <c r="AZ15" i="11"/>
  <c r="AZ18" i="11" s="1"/>
  <c r="BV12" i="16"/>
  <c r="U10" i="17"/>
  <c r="AA16" i="16"/>
  <c r="T16" i="11"/>
  <c r="BI9" i="11"/>
  <c r="BH11" i="11"/>
  <c r="BH12" i="16"/>
  <c r="S19" i="8"/>
  <c r="AY18" i="8"/>
  <c r="BF15" i="8"/>
  <c r="AZ18" i="13"/>
  <c r="BD12" i="8"/>
  <c r="H12" i="7" s="1"/>
  <c r="BA13" i="8"/>
  <c r="AV18" i="17"/>
  <c r="J18" i="17"/>
  <c r="T13" i="16"/>
  <c r="AP13" i="16"/>
  <c r="F11" i="11"/>
  <c r="AQ11" i="11" s="1"/>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17" i="11" l="1"/>
  <c r="AJ19" i="8"/>
  <c r="BG15" i="8"/>
  <c r="K15" i="7" s="1"/>
  <c r="E18" i="12"/>
  <c r="T19" i="8"/>
  <c r="AW18" i="21"/>
  <c r="B18" i="2"/>
  <c r="AB19" i="8"/>
  <c r="AL10" i="11"/>
  <c r="H13" i="12"/>
  <c r="BE9" i="8"/>
  <c r="BD9" i="8"/>
  <c r="AY13" i="8"/>
  <c r="AO12" i="11"/>
  <c r="AO16" i="11"/>
  <c r="AO9" i="11"/>
  <c r="H15" i="2"/>
  <c r="C11" i="6"/>
  <c r="AO12" i="17"/>
  <c r="B17" i="6"/>
  <c r="B16" i="6"/>
  <c r="N13" i="2"/>
  <c r="E15" i="6"/>
  <c r="K15" i="12" s="1"/>
  <c r="F9" i="2"/>
  <c r="H12" i="2"/>
  <c r="M18" i="2"/>
  <c r="N18" i="2"/>
  <c r="AL11" i="11"/>
  <c r="B9" i="6"/>
  <c r="C10" i="6"/>
  <c r="I10" i="12" s="1"/>
  <c r="BD15" i="8"/>
  <c r="H15" i="7" s="1"/>
  <c r="BE15" i="8"/>
  <c r="I15" i="7" s="1"/>
  <c r="BG16" i="8"/>
  <c r="E18" i="2"/>
  <c r="AL15" i="11"/>
  <c r="L16" i="14"/>
  <c r="F15" i="11"/>
  <c r="F16" i="17"/>
  <c r="E9" i="6"/>
  <c r="D11" i="12"/>
  <c r="D12" i="12"/>
  <c r="BF11" i="8"/>
  <c r="J11" i="7" s="1"/>
  <c r="BF9" i="8"/>
  <c r="J9" i="7" s="1"/>
  <c r="BG9" i="8"/>
  <c r="K9" i="7" s="1"/>
  <c r="BD11" i="8"/>
  <c r="BE11" i="8"/>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J18" i="11" s="1"/>
  <c r="BL16" i="11"/>
  <c r="L10" i="2"/>
  <c r="L15" i="2"/>
  <c r="L16" i="2"/>
  <c r="V9" i="16"/>
  <c r="U9" i="17"/>
  <c r="U19" i="17" s="1"/>
  <c r="BK10" i="11"/>
  <c r="BM9" i="11"/>
  <c r="Q9" i="11" s="1"/>
  <c r="BG16" i="11"/>
  <c r="BK16" i="11"/>
  <c r="AQ10" i="21"/>
  <c r="BH10" i="11"/>
  <c r="BG12" i="11"/>
  <c r="S11" i="14"/>
  <c r="V11" i="14" s="1"/>
  <c r="AA15" i="16"/>
  <c r="BU12" i="17"/>
  <c r="BW10" i="20"/>
  <c r="BW11" i="20"/>
  <c r="BW12" i="20"/>
  <c r="BU10" i="17"/>
  <c r="BU21" i="17" s="1"/>
  <c r="BU11" i="17"/>
  <c r="AP17" i="20"/>
  <c r="BK17" i="11"/>
  <c r="BG15" i="11"/>
  <c r="BJ12" i="11"/>
  <c r="AO16" i="17"/>
  <c r="BH9" i="11"/>
  <c r="AP10" i="21"/>
  <c r="BK11" i="11"/>
  <c r="V12" i="21"/>
  <c r="R12" i="14"/>
  <c r="BF10" i="11"/>
  <c r="Q10" i="11" s="1"/>
  <c r="BL17" i="11"/>
  <c r="BM16" i="11"/>
  <c r="BH17" i="16"/>
  <c r="BH11" i="16"/>
  <c r="T9" i="1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0" i="21"/>
  <c r="S10" i="14"/>
  <c r="V10" i="14" s="1"/>
  <c r="S17" i="14"/>
  <c r="V17"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I18" i="2"/>
  <c r="G18" i="2"/>
  <c r="L17" i="14"/>
  <c r="H11" i="7"/>
  <c r="B11" i="6"/>
  <c r="AL9" i="11"/>
  <c r="AO15" i="17"/>
  <c r="AO9" i="17"/>
  <c r="AO15" i="11"/>
  <c r="C16" i="6"/>
  <c r="BI16" i="16"/>
  <c r="H17" i="7"/>
  <c r="AN11" i="11"/>
  <c r="D9" i="6"/>
  <c r="C9" i="6"/>
  <c r="I9" i="12" s="1"/>
  <c r="P18" i="17"/>
  <c r="P19" i="17" s="1"/>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K12" i="12"/>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U17" i="11"/>
  <c r="O10" i="11"/>
  <c r="BR20" i="16"/>
  <c r="AU20" i="17"/>
  <c r="BP20" i="16"/>
  <c r="O17" i="11"/>
  <c r="AW20" i="11"/>
  <c r="AV20" i="21"/>
  <c r="H20" i="17"/>
  <c r="AX20" i="21"/>
  <c r="F18" i="2" l="1"/>
  <c r="I15" i="12"/>
  <c r="B19" i="7"/>
  <c r="D19" i="12"/>
  <c r="Y13" i="11"/>
  <c r="D19" i="5"/>
  <c r="J11" i="12"/>
  <c r="G19" i="7"/>
  <c r="F19" i="7"/>
  <c r="J9" i="12"/>
  <c r="K9" i="12"/>
  <c r="H13" i="2"/>
  <c r="B18" i="6"/>
  <c r="N19" i="2"/>
  <c r="I11" i="12"/>
  <c r="AL18" i="11"/>
  <c r="C18" i="6"/>
  <c r="AM13" i="11"/>
  <c r="F18" i="20"/>
  <c r="F21" i="20" s="1"/>
  <c r="F18" i="11"/>
  <c r="J18" i="2"/>
  <c r="G21" i="11"/>
  <c r="BG13" i="13"/>
  <c r="BE13" i="13"/>
  <c r="I11" i="7"/>
  <c r="V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T20" i="16"/>
  <c r="L20" i="16"/>
  <c r="BE20" i="21"/>
  <c r="AR20" i="16"/>
  <c r="AF20" i="11"/>
  <c r="AB20" i="17"/>
  <c r="X20" i="17"/>
  <c r="J20" i="12"/>
  <c r="K20" i="11"/>
  <c r="BJ20" i="16"/>
  <c r="U20" i="20"/>
  <c r="AD20" i="21"/>
  <c r="L20" i="11"/>
  <c r="AP20" i="16"/>
  <c r="AE20" i="21"/>
  <c r="V20" i="20"/>
  <c r="X20" i="16"/>
  <c r="I20" i="11"/>
  <c r="AT20" i="11"/>
  <c r="AV20" i="17"/>
  <c r="AR20" i="17"/>
  <c r="AW20" i="17"/>
  <c r="BN20" i="16"/>
  <c r="BB20" i="16"/>
  <c r="AN20" i="17"/>
  <c r="Q20" i="21"/>
  <c r="P20" i="21"/>
  <c r="BS20" i="16"/>
  <c r="N20" i="21"/>
  <c r="H20" i="16"/>
  <c r="AK20" i="17"/>
  <c r="AT20" i="20"/>
  <c r="I20" i="16"/>
  <c r="F20" i="17"/>
  <c r="AC20" i="11"/>
  <c r="AA20" i="17"/>
  <c r="AO20" i="16"/>
  <c r="AF20" i="16"/>
  <c r="H20" i="11"/>
  <c r="AW20" i="21"/>
  <c r="BH20" i="16"/>
  <c r="S20" i="11"/>
  <c r="J20" i="21"/>
  <c r="W20" i="11"/>
  <c r="BK20" i="16"/>
  <c r="BD20" i="16"/>
  <c r="R20" i="21"/>
  <c r="BI20" i="16"/>
  <c r="J20" i="16"/>
  <c r="T20" i="11"/>
  <c r="AG20" i="11"/>
  <c r="L20" i="17"/>
  <c r="M20" i="16"/>
  <c r="AP20" i="17"/>
  <c r="AL20" i="11"/>
  <c r="AM20" i="21"/>
  <c r="G20" i="12"/>
  <c r="Q20" i="17"/>
  <c r="R20" i="16"/>
  <c r="AO20" i="11"/>
  <c r="N20" i="17"/>
  <c r="AC20" i="17"/>
  <c r="AK20" i="11"/>
  <c r="O20" i="11"/>
  <c r="H20" i="12"/>
  <c r="AU20" i="21"/>
  <c r="AO20" i="17"/>
  <c r="S20" i="17"/>
  <c r="AW20" i="16"/>
  <c r="AP20" i="21"/>
  <c r="AU20" i="11"/>
  <c r="BF20" i="16"/>
  <c r="AA20" i="21"/>
  <c r="O12" i="11"/>
  <c r="I20" i="12"/>
  <c r="BM20" i="16"/>
  <c r="BD19" i="8" l="1"/>
  <c r="AQ20" i="11"/>
  <c r="BL20" i="16"/>
  <c r="AP20" i="11"/>
  <c r="AT20" i="21"/>
  <c r="AQ20" i="17"/>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<sst xmlns="http://schemas.openxmlformats.org/spreadsheetml/2006/main" count="2074" uniqueCount="909">
  <si>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</si>
  <si>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</si>
  <si>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</si>
  <si>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</si>
  <si>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</si>
  <si>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</si>
  <si>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</si>
  <si>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</si>
  <si>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</si>
  <si>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</si>
  <si>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</si>
  <si>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</si>
  <si>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</si>
  <si>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</si>
  <si>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</si>
  <si>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</si>
  <si>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</si>
  <si>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</si>
  <si>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</si>
  <si>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</si>
  <si>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</si>
  <si>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</si>
  <si>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</si>
  <si>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</si>
  <si>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</si>
  <si>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</si>
  <si>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</si>
  <si>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</si>
  <si>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</si>
  <si>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</si>
  <si>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</si>
  <si>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</si>
  <si>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</si>
  <si>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</si>
  <si>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</si>
  <si>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</si>
  <si>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</si>
  <si>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</si>
  <si>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</si>
  <si>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</si>
  <si>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</si>
  <si>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</si>
  <si>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</si>
  <si>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</si>
  <si>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</si>
  <si>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</si>
  <si>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</si>
  <si>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</si>
  <si>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</si>
  <si>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</si>
  <si>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</si>
  <si>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</si>
  <si>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</si>
  <si>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</si>
  <si>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</si>
  <si>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</si>
  <si>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</si>
  <si>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</si>
  <si>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</si>
  <si>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</si>
  <si>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</si>
  <si>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</si>
  <si>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</si>
  <si>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</si>
  <si>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</si>
  <si>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</si>
  <si>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</si>
  <si>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</si>
  <si>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</si>
  <si>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</si>
  <si>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</si>
  <si>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</si>
  <si>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</si>
  <si>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</si>
  <si>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</si>
  <si>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</si>
  <si>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</si>
  <si>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</si>
  <si>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</si>
  <si>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</si>
  <si>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</si>
  <si>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</si>
  <si>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</si>
  <si>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</si>
  <si>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</si>
  <si>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</si>
  <si>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</si>
  <si>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</si>
  <si>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</si>
  <si>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</si>
  <si>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</si>
  <si>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</si>
  <si>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</si>
  <si>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</si>
  <si>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</si>
  <si>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</si>
  <si>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</si>
  <si>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</si>
  <si>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</si>
  <si>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</si>
  <si>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</si>
  <si>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</si>
  <si>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</si>
  <si>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</si>
  <si>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</si>
  <si>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</si>
  <si>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</si>
  <si>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</si>
  <si>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</si>
  <si>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</si>
  <si>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</si>
  <si>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</si>
  <si>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</si>
  <si>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</si>
  <si>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</si>
  <si>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</si>
  <si>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</si>
  <si>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</si>
  <si>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</si>
  <si>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</si>
  <si>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</si>
  <si>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</si>
  <si>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</si>
  <si>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</si>
  <si>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</si>
  <si>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</si>
  <si>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</si>
  <si>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</si>
  <si>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</si>
  <si>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</si>
  <si>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</si>
  <si>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</si>
  <si>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</si>
  <si>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</si>
  <si>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</si>
  <si>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</si>
  <si>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</si>
  <si>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</si>
  <si>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</si>
  <si>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</si>
  <si>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</si>
  <si>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</si>
  <si>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</si>
  <si>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</si>
  <si>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</si>
  <si>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</si>
  <si>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</si>
  <si>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</si>
  <si>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</si>
  <si>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</si>
  <si>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</si>
  <si>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</si>
  <si>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</si>
  <si>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</si>
  <si>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</si>
  <si>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</si>
  <si>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</si>
  <si>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</si>
  <si>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</si>
  <si>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</si>
  <si>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</si>
  <si>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</si>
  <si>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</si>
  <si>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</si>
  <si>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</si>
  <si>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</si>
  <si>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</si>
  <si>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</si>
  <si>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</si>
  <si>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</si>
  <si>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</si>
  <si>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</si>
  <si>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</si>
  <si>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</si>
  <si>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</si>
  <si>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</si>
  <si>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</si>
  <si>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</si>
  <si>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</si>
  <si>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</si>
  <si>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</si>
  <si>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</si>
  <si>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</si>
  <si>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</si>
  <si>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</si>
  <si>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</si>
  <si>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</si>
  <si>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</si>
  <si>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</si>
  <si>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</si>
  <si>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</si>
  <si>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</si>
  <si>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</si>
  <si>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</si>
  <si>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</si>
  <si>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</si>
  <si>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</si>
  <si>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</si>
  <si>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</si>
  <si>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</si>
  <si>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</si>
  <si>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</si>
  <si>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</si>
  <si>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</si>
  <si>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</si>
  <si>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</si>
  <si>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</si>
  <si>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</si>
  <si>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</si>
  <si>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</si>
  <si>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</si>
  <si>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</si>
  <si>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</si>
  <si>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</si>
  <si>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</si>
  <si>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</si>
  <si>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</si>
  <si>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</si>
  <si>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</si>
  <si>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</si>
  <si>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</si>
  <si>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</si>
  <si>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</si>
  <si>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</si>
  <si>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</si>
  <si>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</si>
  <si>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</si>
  <si>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</si>
  <si>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</si>
  <si>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</si>
  <si>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</si>
  <si>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</si>
  <si>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</si>
  <si>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</si>
  <si>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</si>
  <si>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</si>
  <si>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</si>
  <si>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</si>
  <si>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</si>
  <si>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</si>
  <si>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</si>
  <si>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</si>
  <si>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</si>
  <si>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</si>
  <si>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</si>
  <si>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</si>
  <si>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</si>
  <si>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</si>
  <si>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</si>
  <si>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</si>
  <si>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</si>
  <si>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</si>
  <si>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</si>
  <si>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</si>
  <si>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</si>
  <si>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</si>
  <si>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</si>
  <si>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</si>
  <si>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</si>
  <si>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</si>
  <si>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</si>
  <si>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</si>
  <si>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</si>
  <si>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</si>
  <si>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</si>
  <si>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</si>
  <si>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</si>
  <si>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</si>
  <si>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</si>
  <si>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</si>
  <si>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</si>
  <si>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</si>
  <si>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</si>
  <si>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</si>
  <si>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</si>
  <si>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</si>
  <si>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</si>
  <si>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</si>
  <si>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</si>
  <si>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</si>
  <si>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</si>
  <si>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</si>
  <si>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</si>
  <si>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</si>
  <si>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</si>
  <si>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</si>
  <si>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</si>
  <si>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</si>
  <si>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</si>
  <si>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</si>
  <si>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</si>
  <si>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</si>
  <si>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</si>
  <si>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</si>
  <si>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</si>
  <si>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</si>
  <si>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</si>
  <si>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</si>
  <si>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</si>
  <si>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</si>
  <si>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</si>
  <si>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</si>
  <si>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</si>
  <si>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</si>
  <si>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</si>
  <si>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</si>
  <si>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</si>
  <si>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</si>
  <si>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</si>
  <si>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</si>
  <si>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</si>
  <si>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</si>
  <si>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</si>
  <si>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</si>
  <si>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</si>
  <si>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</si>
  <si>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</si>
  <si>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</si>
  <si>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</si>
  <si>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</si>
  <si>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</si>
  <si>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</si>
  <si>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</si>
  <si>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</si>
  <si>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</si>
  <si>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</si>
  <si>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</si>
  <si>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</si>
  <si>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</si>
  <si>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</si>
  <si>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</si>
  <si>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</si>
  <si>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</si>
  <si>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</si>
  <si>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</si>
  <si>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</si>
  <si>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</si>
  <si>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</si>
  <si>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</si>
  <si>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</si>
  <si>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</si>
  <si>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</si>
  <si>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</si>
  <si>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</si>
  <si>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</si>
  <si>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</si>
  <si>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</si>
  <si>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</si>
  <si>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</si>
  <si>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</si>
  <si>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</si>
  <si>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</si>
  <si>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</si>
  <si>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</si>
  <si>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</si>
  <si>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</si>
  <si>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</si>
  <si>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</si>
  <si>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</si>
  <si>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</si>
  <si>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</si>
  <si>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</si>
  <si>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</si>
  <si>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</si>
  <si>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</si>
  <si>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</si>
  <si>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</si>
  <si>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</si>
  <si>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</si>
  <si>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</si>
  <si>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</si>
  <si>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</si>
  <si>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</si>
  <si>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</si>
  <si>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</si>
  <si>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</si>
  <si>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</si>
  <si>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</si>
  <si>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</si>
  <si>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</si>
  <si>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</si>
  <si>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</si>
  <si>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</si>
  <si>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</si>
  <si>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</si>
  <si>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</si>
  <si>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</si>
  <si>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</si>
  <si>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</si>
  <si>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</si>
  <si>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</si>
  <si>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</si>
  <si>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</si>
  <si>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</si>
  <si>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</si>
  <si>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</si>
  <si>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</si>
  <si>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</si>
  <si>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</si>
  <si>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</si>
  <si>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</si>
  <si>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</si>
  <si>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</si>
  <si>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</si>
  <si>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</si>
  <si>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</si>
  <si>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</si>
  <si>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</si>
  <si>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</si>
  <si>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</si>
  <si>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</si>
  <si>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</si>
  <si>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</si>
  <si>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</si>
  <si>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</si>
  <si>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</si>
  <si>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</si>
  <si>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</si>
  <si>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</si>
  <si>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</si>
  <si>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</si>
  <si>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</si>
  <si>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</si>
  <si>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</si>
  <si>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</si>
  <si>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</si>
  <si>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</si>
  <si>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</si>
  <si>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</si>
  <si>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</si>
  <si>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</si>
  <si>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</si>
  <si>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</si>
  <si>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</si>
  <si>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</si>
  <si>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</si>
  <si>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</si>
  <si>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</si>
  <si>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</si>
  <si>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</si>
  <si>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</si>
  <si>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</si>
  <si>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</si>
  <si>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</si>
  <si>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</si>
  <si>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</si>
  <si>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</si>
  <si>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</si>
  <si>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</si>
  <si>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</si>
  <si>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</si>
  <si>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</si>
  <si>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</si>
  <si>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</si>
  <si>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</si>
  <si>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</si>
  <si>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</si>
  <si>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</si>
  <si>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</si>
  <si>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</si>
  <si>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</si>
  <si>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</si>
  <si>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</si>
  <si>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</si>
  <si>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</si>
  <si>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</si>
  <si>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</si>
  <si>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</si>
  <si>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</si>
  <si>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</si>
  <si>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</si>
  <si>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</si>
  <si>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</si>
  <si>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</si>
  <si>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</si>
  <si>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</si>
  <si>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</si>
  <si>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</si>
  <si>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</si>
  <si>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</si>
  <si>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</si>
  <si>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</si>
  <si>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</si>
  <si>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</si>
  <si>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</si>
  <si>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</si>
  <si>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</si>
  <si>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</si>
  <si>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</si>
  <si>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</si>
  <si>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</si>
  <si>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</si>
  <si>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</si>
  <si>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</si>
  <si>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</si>
  <si>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</si>
  <si>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</si>
  <si>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</si>
  <si>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</si>
  <si>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</si>
  <si>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</si>
  <si>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</si>
  <si>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</si>
  <si>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</si>
  <si>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</si>
  <si>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</si>
  <si>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</si>
  <si>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</si>
  <si>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</si>
  <si>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</si>
  <si>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</si>
  <si>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</si>
  <si>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</si>
  <si>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</si>
  <si>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</si>
  <si>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</si>
  <si>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</si>
  <si>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</si>
  <si>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</si>
  <si>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</si>
  <si>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</si>
  <si>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</si>
  <si>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</si>
  <si>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</si>
  <si>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</si>
  <si>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</si>
  <si>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</si>
  <si>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</si>
  <si>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</si>
  <si>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</si>
  <si>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</si>
  <si>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</si>
  <si>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</si>
  <si>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</si>
  <si>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</si>
  <si>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</si>
  <si>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</si>
  <si>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</si>
  <si>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</si>
  <si>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</si>
  <si>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</si>
  <si>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</si>
  <si>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</si>
  <si>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</si>
  <si>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</si>
  <si>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</si>
  <si>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</si>
  <si>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</si>
  <si>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</si>
  <si>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</si>
  <si>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</si>
  <si>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</si>
  <si>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</si>
  <si>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</si>
  <si>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</si>
  <si>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</si>
  <si>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</si>
  <si>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</si>
  <si>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</si>
  <si>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</si>
  <si>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</si>
  <si>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</si>
  <si>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</si>
  <si>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</si>
  <si>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</si>
  <si>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</si>
  <si>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</si>
  <si>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</si>
  <si>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</si>
  <si>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</si>
  <si>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</si>
  <si>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</si>
  <si>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</si>
  <si>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</si>
  <si>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</si>
  <si>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</si>
  <si>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</si>
  <si>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</si>
  <si>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</si>
  <si>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</si>
  <si>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</si>
  <si>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</si>
  <si>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</si>
  <si>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</si>
  <si>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</si>
  <si>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</si>
  <si>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</si>
  <si>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</si>
  <si>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</si>
  <si>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</si>
  <si>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</si>
  <si>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</si>
  <si>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</si>
  <si>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</si>
  <si>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</si>
  <si>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</si>
  <si>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</si>
  <si>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</si>
  <si>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</si>
  <si>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</si>
  <si>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</si>
  <si>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</si>
  <si>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</si>
  <si>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</si>
  <si>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</si>
  <si>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</si>
  <si>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</si>
  <si>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</si>
  <si>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</si>
  <si>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</si>
  <si>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</si>
  <si>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</si>
  <si>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</si>
  <si>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</si>
  <si>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</si>
  <si>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</si>
  <si>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</si>
  <si>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</si>
  <si>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</si>
  <si>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</si>
  <si>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</si>
  <si>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</si>
  <si>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</si>
  <si>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</si>
  <si>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</si>
  <si>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</si>
  <si>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</si>
  <si>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</si>
  <si>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</si>
  <si>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</si>
  <si>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</si>
  <si>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</si>
  <si>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</si>
  <si>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</si>
  <si>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</si>
  <si>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</si>
  <si>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</si>
  <si>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</si>
  <si>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</si>
  <si>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</si>
  <si>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</si>
  <si>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</si>
  <si>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</si>
  <si>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</si>
  <si>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</si>
  <si>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</si>
  <si>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</si>
  <si>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</si>
  <si>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</si>
  <si>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</si>
  <si>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</si>
  <si>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</si>
  <si>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</si>
  <si>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</si>
  <si>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</si>
  <si>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</si>
  <si>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</si>
  <si>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</si>
  <si>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</si>
  <si>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</si>
  <si>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</si>
  <si>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</si>
  <si>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</si>
  <si>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</si>
  <si>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</si>
  <si>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</si>
  <si>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</si>
  <si>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</si>
  <si>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</si>
  <si>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</si>
  <si>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</si>
  <si>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</si>
  <si>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</si>
  <si>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</si>
  <si>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</si>
  <si>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</si>
  <si>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</si>
  <si>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</si>
  <si>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</si>
  <si>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</si>
  <si>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</si>
  <si>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</si>
  <si>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</si>
  <si>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</si>
  <si>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</si>
  <si>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</si>
  <si>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</si>
  <si>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</si>
  <si>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</si>
  <si>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</si>
  <si>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</si>
  <si>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</si>
  <si>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</si>
  <si>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</si>
  <si>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</si>
  <si>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</si>
  <si>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</si>
  <si>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</si>
  <si>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</si>
  <si>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</si>
  <si>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</si>
  <si>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</si>
  <si>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</si>
  <si>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</si>
  <si>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</si>
  <si>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</si>
  <si>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</si>
  <si>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</si>
  <si>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</si>
  <si>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</si>
  <si>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</si>
  <si>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</si>
  <si>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</si>
  <si>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</si>
  <si>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</si>
  <si>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</si>
  <si>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</si>
  <si>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</si>
  <si>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</si>
  <si>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</si>
  <si>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</si>
  <si>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</si>
  <si>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</si>
  <si>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</si>
  <si>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</si>
  <si>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</si>
  <si>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</si>
  <si>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</si>
  <si>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</si>
  <si>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</si>
  <si>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</si>
  <si>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</si>
  <si>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</si>
  <si>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</si>
  <si>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</si>
  <si>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</si>
  <si>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</si>
  <si>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</si>
  <si>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</si>
  <si>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</si>
  <si>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</si>
  <si>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</si>
  <si>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</si>
  <si>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</si>
  <si>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</si>
  <si>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</si>
  <si>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</si>
  <si>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</si>
  <si>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</si>
  <si>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</si>
  <si>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</si>
  <si>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</si>
  <si>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</si>
  <si>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</si>
  <si>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</si>
  <si>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</si>
  <si>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</si>
  <si>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</si>
  <si>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</si>
  <si>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</si>
  <si>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</si>
  <si>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</si>
  <si>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</si>
  <si>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</si>
  <si>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</si>
  <si>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</si>
  <si>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</si>
  <si>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</si>
  <si>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</si>
  <si>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</si>
  <si>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</si>
  <si>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</si>
  <si>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</si>
  <si>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</si>
  <si>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</si>
  <si>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</si>
  <si>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</si>
  <si>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</si>
  <si>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</si>
  <si>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</si>
  <si>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</si>
  <si>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</si>
  <si>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</si>
  <si>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</si>
  <si>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</si>
  <si>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</si>
  <si>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</si>
  <si>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</si>
  <si>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</si>
  <si>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</si>
  <si>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</si>
  <si>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</si>
  <si>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</si>
  <si>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</si>
  <si>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</si>
  <si>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</si>
  <si>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</si>
  <si>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</si>
  <si>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</si>
  <si>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</si>
  <si>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</si>
  <si>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</si>
  <si>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</si>
  <si>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</si>
  <si>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</si>
  <si>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</si>
  <si>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</si>
  <si>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</si>
  <si>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</si>
  <si>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</si>
  <si>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</si>
  <si>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</si>
  <si>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</si>
  <si>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</si>
  <si>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</si>
  <si>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</si>
  <si>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</si>
  <si>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</si>
  <si>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</si>
  <si>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</si>
  <si>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</si>
  <si>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</si>
  <si>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</si>
  <si>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</si>
  <si>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</si>
  <si>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</si>
  <si>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</si>
  <si>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</si>
  <si>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</si>
  <si>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</si>
  <si>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</si>
  <si>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</si>
  <si>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</si>
  <si>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</si>
  <si>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</si>
  <si>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</si>
  <si>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</si>
  <si>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</si>
  <si>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</si>
  <si>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</si>
  <si>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</si>
  <si>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</si>
  <si>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</si>
  <si>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</si>
  <si>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</si>
  <si>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</si>
  <si>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</si>
  <si>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</si>
  <si>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</si>
  <si>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</si>
  <si>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</si>
  <si>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</si>
  <si>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</si>
  <si>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</si>
  <si>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</si>
  <si>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</si>
  <si>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</si>
  <si>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</si>
  <si>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</si>
  <si>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</si>
  <si>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</si>
  <si>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</si>
  <si>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</si>
  <si>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</si>
  <si>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</si>
  <si>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</si>
  <si>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</si>
  <si>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</si>
  <si>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</si>
  <si>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</si>
  <si>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</si>
  <si>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</si>
  <si>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</si>
  <si>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</si>
  <si>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</si>
  <si>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</si>
  <si>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</si>
  <si>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</si>
  <si>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</si>
  <si>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</si>
  <si>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</si>
  <si>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</si>
  <si>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</si>
  <si>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</si>
  <si>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</si>
  <si>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</si>
  <si>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</si>
  <si>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</si>
  <si>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</si>
  <si>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</si>
  <si>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</si>
  <si>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</si>
  <si>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</si>
  <si>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</si>
  <si>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</si>
  <si>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</si>
  <si>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</si>
  <si>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</si>
  <si>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</si>
  <si>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</si>
  <si>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</si>
  <si>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</si>
  <si>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</si>
  <si>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</si>
  <si>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GALICIA</t>
  </si>
  <si>
    <t>Provincias</t>
  </si>
  <si>
    <t>A CORUÑA</t>
  </si>
  <si>
    <t>Resumenes por Partidos Judiciales</t>
  </si>
  <si>
    <t>FERROL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</si>
</sst>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0</v>
      </c>
    </row>
    <row r="4" spans="1:19" ht="22.5" customHeight="1" thickBot="1">
      <c r="A4" s="366" t="s">
        <v>902</v>
      </c>
      <c r="B4" s="365"/>
      <c r="C4" s="365"/>
      <c r="D4" s="365"/>
      <c r="E4" s="365"/>
      <c r="F4" s="2"/>
      <c r="Q4" s="345">
        <v>2</v>
      </c>
      <c r="R4" s="345">
        <v>3</v>
      </c>
      <c r="S4" t="b">
        <f>AND(Q4&gt;=TrimIni,Q4&lt;=TrimFin)</f>
        <v>0</v>
      </c>
    </row>
    <row r="5" spans="1:19" ht="15.75" thickBot="1">
      <c r="A5" s="367" t="s">
        <v>37</v>
      </c>
      <c r="B5" s="368">
        <v>2025</v>
      </c>
      <c r="C5" s="369" t="s">
        <v>211</v>
      </c>
      <c r="D5" s="370">
        <v>3</v>
      </c>
      <c r="E5" s="371"/>
      <c r="F5" s="3"/>
      <c r="H5" t="s">
        <v>420</v>
      </c>
      <c r="Q5" s="345">
        <v>3</v>
      </c>
      <c r="R5" s="345">
        <v>2</v>
      </c>
      <c r="S5" t="b">
        <f>AND(Q5&gt;=TrimIni,Q5&lt;=TrimFin)</f>
        <v>1</v>
      </c>
    </row>
    <row r="6" spans="1:19" ht="15">
      <c r="A6" s="372"/>
      <c r="B6" s="371"/>
      <c r="C6" s="369" t="s">
        <v>212</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FalKSW6PJ8chGzEx9Ef8YAmxsyH7NGOcP6TMNcANplTmaF40OrHW8sf2hJaDMoexNtwMTO/aQs9gkztMl1LQg==" saltValue="zqsgTjbeZrqiKi5RedKY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GALICIA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3 al 3</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5</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22.230026809651477</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148</v>
      </c>
      <c r="D10" s="224">
        <f>IF(ISNUMBER(Datos!I10),Datos!I10," - ")</f>
        <v>148</v>
      </c>
      <c r="E10" s="225">
        <f>IF(ISNUMBER(Datos!J10),Datos!J10," - ")</f>
        <v>11</v>
      </c>
      <c r="F10" s="225">
        <f>IF(ISNUMBER(Datos!K10),Datos!K10," - ")</f>
        <v>6</v>
      </c>
      <c r="G10" s="1033" t="str">
        <f>IF(Datos!E10&lt;&gt;"",Datos!E10,Datos!D10)</f>
        <v>37</v>
      </c>
      <c r="H10" s="226">
        <f>IF(ISNUMBER(Datos!L10),Datos!L10," - ")</f>
        <v>153</v>
      </c>
      <c r="I10" s="1043" t="str">
        <f>IF(ISNUMBER(Datos!AS10/Datos!BM10),Datos!AS10/Datos!BM10," - ")</f>
        <v xml:space="preserve"> - </v>
      </c>
      <c r="J10" s="1044">
        <f>IF(ISNUMBER(Datos!BY10/Datos!CN10),Datos!BY10/Datos!CN10," - ")</f>
        <v>0</v>
      </c>
      <c r="K10" s="229">
        <f t="shared" ref="K10:K12" si="1">IF(ISNUMBER((E10-F10)/C10),(E10-F10)/C10," - ")</f>
        <v>3.3783783783783786E-2</v>
      </c>
      <c r="L10" s="1024">
        <f>IF(ISNUMBER(NºAsuntos!I10/NºAsuntos!G10),(NºAsuntos!I10/NºAsuntos!G10)*11," - ")</f>
        <v>280.5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1</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23.187050359712231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148</v>
      </c>
      <c r="D13" s="1048">
        <f>SUBTOTAL(9,D9:D12)</f>
        <v>148</v>
      </c>
      <c r="E13" s="1049">
        <f>SUBTOTAL(9,E9:E12)</f>
        <v>11</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2226</v>
      </c>
      <c r="D15" s="224">
        <f>IF(ISNUMBER(IF(D_I="SI",Datos!I15,Datos!I15+Datos!AC15)),IF(D_I="SI",Datos!I15,Datos!I15+Datos!AC15)," - ")</f>
        <v>2208</v>
      </c>
      <c r="E15" s="225">
        <f>IF(ISNUMBER(IF(D_I="SI",Datos!J15,Datos!J15+Datos!AD15)),IF(D_I="SI",Datos!J15,Datos!J15+Datos!AD15)," - ")</f>
        <v>1107</v>
      </c>
      <c r="F15" s="225">
        <f>IF(ISNUMBER(IF(D_I="SI",Datos!K15,Datos!K15+Datos!AE15)),IF(D_I="SI",Datos!K15,Datos!K15+Datos!AE15)," - ")</f>
        <v>983</v>
      </c>
      <c r="G15" s="1033" t="str">
        <f>IF(Datos!E15&lt;&gt;"",Datos!E15,Datos!D15)</f>
        <v>03</v>
      </c>
      <c r="H15" s="226">
        <f>IF(ISNUMBER(IF(D_I="SI",Datos!L15,Datos!L15+Datos!AF15)),IF(D_I="SI",Datos!L15,Datos!L15+Datos!AF15)," - ")</f>
        <v>2350</v>
      </c>
      <c r="I15" s="1043" t="str">
        <f>IF(ISNUMBER(Datos!AS15/Datos!BM15),Datos!AS15/Datos!BM15," - ")</f>
        <v xml:space="preserve"> - </v>
      </c>
      <c r="J15" s="1044">
        <f>IF(ISNUMBER(Datos!BY15/Datos!CN15),Datos!BY15/Datos!CN15," - ")</f>
        <v>0</v>
      </c>
      <c r="K15" s="229">
        <f t="shared" ref="K15:K17" si="3">IF(ISNUMBER((E15-F15)/C15),(E15-F15)/C15," - ")</f>
        <v>5.5705300988319856E-2</v>
      </c>
      <c r="L15" s="1024">
        <f>IF(ISNUMBER(NºAsuntos!I15/NºAsuntos!G15),(NºAsuntos!I15/NºAsuntos!G15)*11," - ")</f>
        <v>26.297049847405901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229</v>
      </c>
      <c r="D17" s="224">
        <f>IF(ISNUMBER(IF(D_I="SI",Datos!I17,Datos!I17+Datos!AC17)),IF(D_I="SI",Datos!I17,Datos!I17+Datos!AC17)," - ")</f>
        <v>229</v>
      </c>
      <c r="E17" s="225">
        <f>IF(ISNUMBER(IF(D_I="SI",Datos!J17,Datos!J17+Datos!AD17)),IF(D_I="SI",Datos!J17,Datos!J17+Datos!AD17)," - ")</f>
        <v>198</v>
      </c>
      <c r="F17" s="225">
        <f>IF(ISNUMBER(IF(D_I="SI",Datos!K17,Datos!K17+Datos!AE17)),IF(D_I="SI",Datos!K17,Datos!K17+Datos!AE17)," - ")</f>
        <v>166</v>
      </c>
      <c r="G17" s="1033" t="str">
        <f>IF(Datos!E17&lt;&gt;"",Datos!E17,Datos!D17)</f>
        <v>37</v>
      </c>
      <c r="H17" s="226">
        <f>IF(ISNUMBER(IF(D_I="SI",Datos!L17,Datos!L17+Datos!AF17)),IF(D_I="SI",Datos!L17,Datos!L17+Datos!AF17)," - ")</f>
        <v>261</v>
      </c>
      <c r="I17" s="1043" t="str">
        <f>IF(ISNUMBER(Datos!AS17/Datos!BM17),Datos!AS17/Datos!BM17," - ")</f>
        <v xml:space="preserve"> - </v>
      </c>
      <c r="J17" s="1044" t="str">
        <f>IF(ISNUMBER((Datos!BY17+Datos!BZ17)/Datos!CN17),(Datos!BY17+Datos!BZ17)/Datos!CN17," - ")</f>
        <v xml:space="preserve"> - </v>
      </c>
      <c r="K17" s="229">
        <f t="shared" si="3"/>
        <v>0.13973799126637554</v>
      </c>
      <c r="L17" s="1024">
        <f>IF(ISNUMBER(NºAsuntos!I17/NºAsuntos!G17),(NºAsuntos!I17/NºAsuntos!G17)*11," - ")</f>
        <v>17.295180722891565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2455</v>
      </c>
      <c r="D18" s="1048">
        <f>SUBTOTAL(9,D15:D17)</f>
        <v>2437</v>
      </c>
      <c r="E18" s="1049">
        <f>SUBTOTAL(9,E15:E17)</f>
        <v>1305</v>
      </c>
      <c r="F18" s="1049">
        <f>SUBTOTAL(9,F15:F17)</f>
        <v>1149</v>
      </c>
      <c r="G18" s="1051" t="str">
        <f ca="1">INDIRECT(CONCATENATE("G",ROW()-1))</f>
        <v>37</v>
      </c>
      <c r="H18" s="1052">
        <f ca="1">SUMIF(G$14:G17,G18,H$14:H17)</f>
        <v>261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2603</v>
      </c>
      <c r="D19" s="1070">
        <f>SUBTOTAL(9,D9:D18)</f>
        <v>2585</v>
      </c>
      <c r="E19" s="1071">
        <f>SUBTOTAL(9,E9:E18)</f>
        <v>1316</v>
      </c>
      <c r="F19" s="1071">
        <f>SUBTOTAL(9,F9:F18)</f>
        <v>1155</v>
      </c>
      <c r="G19" s="1072"/>
      <c r="H19" s="1073">
        <f ca="1">SUMIF(B9:B18,"TOTAL",H9:H18)</f>
        <v>261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47wIAE/j631fXmGepbwbVW8OK10MEZgxljJayrpiETPrunv42Lu3qFo16MsI2DmZEQzW0VUOAQgUc568HXm38g==" saltValue="JHqZvBHGw6P6kCUThb5KM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so/sw4F6vPd/HaEkE2Xjql4Iri74bQyOmpyaswjQJbg2T393Haql1Ux7+6Q5wXh9RVZ2GrAHHwXSW/PYLaxkzA==" saltValue="pOZ75hoYwCQTVFO9eei/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4098</v>
      </c>
      <c r="J9" s="180">
        <v>900</v>
      </c>
      <c r="K9" s="180">
        <v>1672</v>
      </c>
      <c r="L9" s="180">
        <v>3648</v>
      </c>
      <c r="M9" s="180">
        <v>459</v>
      </c>
      <c r="N9" s="180">
        <v>690</v>
      </c>
      <c r="O9" s="180">
        <v>851</v>
      </c>
      <c r="P9" s="180">
        <v>616</v>
      </c>
      <c r="Q9" s="180">
        <v>330</v>
      </c>
      <c r="R9" s="180">
        <v>8112</v>
      </c>
      <c r="S9" s="180">
        <v>3389</v>
      </c>
      <c r="T9" s="180">
        <v>1720</v>
      </c>
      <c r="U9" s="180">
        <v>1383</v>
      </c>
      <c r="V9" s="180">
        <v>3725</v>
      </c>
      <c r="W9" s="180">
        <v>503</v>
      </c>
      <c r="X9" s="187">
        <v>473</v>
      </c>
      <c r="Y9" s="190">
        <v>134</v>
      </c>
      <c r="Z9" s="180">
        <v>180</v>
      </c>
      <c r="AA9" s="180">
        <v>193</v>
      </c>
      <c r="AB9" s="180">
        <v>121</v>
      </c>
      <c r="AC9" s="180">
        <v>0</v>
      </c>
      <c r="AD9" s="180">
        <v>0</v>
      </c>
      <c r="AE9" s="180">
        <v>0</v>
      </c>
      <c r="AF9" s="187">
        <v>0</v>
      </c>
      <c r="AG9" s="190">
        <v>121</v>
      </c>
      <c r="AH9" s="180">
        <v>116</v>
      </c>
      <c r="AI9" s="180">
        <v>181</v>
      </c>
      <c r="AJ9" s="191">
        <v>56</v>
      </c>
      <c r="AK9" s="179">
        <v>0</v>
      </c>
      <c r="AL9" s="180">
        <v>0</v>
      </c>
      <c r="AM9" s="180">
        <v>0</v>
      </c>
      <c r="AN9" s="187">
        <v>0</v>
      </c>
      <c r="AO9" s="257">
        <v>5</v>
      </c>
      <c r="AP9" s="153">
        <v>5</v>
      </c>
      <c r="AQ9" s="153">
        <v>5</v>
      </c>
      <c r="AR9" s="192">
        <v>5</v>
      </c>
      <c r="AS9" s="337" t="s">
        <v>786</v>
      </c>
      <c r="AT9" s="194"/>
      <c r="AU9" s="193"/>
      <c r="AV9" s="194"/>
      <c r="AW9" s="193"/>
      <c r="AX9" s="194"/>
      <c r="AY9" s="123">
        <f>IF(ISNUMBER(IF(J_V="SI",S9,S9+AG9)),IF(J_V="SI",S9,S9+AG9)," - ")</f>
        <v>3510</v>
      </c>
      <c r="AZ9" s="123">
        <f>IF(ISNUMBER(IF(J_V="SI",T9,T9+AH9)),IF(J_V="SI",T9,T9+AH9)," - ")</f>
        <v>1836</v>
      </c>
      <c r="BA9" s="124">
        <f>IF(ISNUMBER(IF(J_V="SI",U9,U9+AI9)),IF(J_V="SI",U9,U9+AI9)," - ")</f>
        <v>1564</v>
      </c>
      <c r="BB9" s="124">
        <f>IF(ISNUMBER(IF(J_V="SI",V9,V9+AJ9)),IF(J_V="SI",V9,V9+AJ9)," - ")</f>
        <v>3781</v>
      </c>
      <c r="BC9" s="125">
        <f>IF(ISNUMBER(X9),X9," - ")</f>
        <v>473</v>
      </c>
      <c r="BD9" s="126">
        <f>IF(ISNUMBER(BA9/AZ9),BA9/AZ9," - ")</f>
        <v>0.85185185185185186</v>
      </c>
      <c r="BE9" s="127">
        <f>IF(ISNUMBER(BB9/BA9),BB9/BA9, " - ")</f>
        <v>2.4175191815856776</v>
      </c>
      <c r="BF9" s="127">
        <f>IF(ISNUMBER(BC9/BA9),BC9/BA9, " - ")</f>
        <v>0.3024296675191816</v>
      </c>
      <c r="BG9" s="195">
        <f>IF(ISNUMBER((AY9+AZ9)/BA9),(AY9+AZ9)/BA9," - ")</f>
        <v>3.418158567774936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148</v>
      </c>
      <c r="J10" s="180">
        <v>11</v>
      </c>
      <c r="K10" s="180">
        <v>6</v>
      </c>
      <c r="L10" s="180">
        <v>153</v>
      </c>
      <c r="M10" s="180">
        <v>1</v>
      </c>
      <c r="N10" s="180">
        <v>1</v>
      </c>
      <c r="O10" s="180">
        <v>0</v>
      </c>
      <c r="P10" s="180">
        <v>5</v>
      </c>
      <c r="Q10" s="180">
        <v>0</v>
      </c>
      <c r="R10" s="180">
        <v>98</v>
      </c>
      <c r="S10" s="180">
        <v>148</v>
      </c>
      <c r="T10" s="180">
        <v>14</v>
      </c>
      <c r="U10" s="180">
        <v>19</v>
      </c>
      <c r="V10" s="180">
        <v>143</v>
      </c>
      <c r="W10" s="180">
        <v>4</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780</v>
      </c>
      <c r="AT10" s="191"/>
      <c r="AU10" s="199"/>
      <c r="AV10" s="191"/>
      <c r="AW10" s="199"/>
      <c r="AX10" s="191"/>
      <c r="AY10" s="128">
        <f t="shared" ref="AY10:BC10" si="0">IF(ISNUMBER(S10),S10," - ")</f>
        <v>148</v>
      </c>
      <c r="AZ10" s="129">
        <f t="shared" si="0"/>
        <v>14</v>
      </c>
      <c r="BA10" s="129">
        <f t="shared" si="0"/>
        <v>19</v>
      </c>
      <c r="BB10" s="129">
        <f t="shared" si="0"/>
        <v>143</v>
      </c>
      <c r="BC10" s="125">
        <f t="shared" si="0"/>
        <v>4</v>
      </c>
      <c r="BD10" s="126">
        <f>IF(ISNUMBER(BA10/AZ10),BA10/AZ10," - ")</f>
        <v>1.3571428571428572</v>
      </c>
      <c r="BE10" s="127">
        <f>IF(ISNUMBER(BB10/BA10),BB10/BA10, " - ")</f>
        <v>7.5263157894736841</v>
      </c>
      <c r="BF10" s="127">
        <f>IF(ISNUMBER(BC10/BA10),BC10/BA10, " - ")</f>
        <v>0.21052631578947367</v>
      </c>
      <c r="BG10" s="195">
        <f>IF(ISNUMBER((AY10+AZ10)/BA10),(AY10+AZ10)/BA10," - ")</f>
        <v>8.526315789473685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421</v>
      </c>
      <c r="J11" s="182">
        <v>182</v>
      </c>
      <c r="K11" s="182">
        <v>187</v>
      </c>
      <c r="L11" s="182">
        <v>416</v>
      </c>
      <c r="M11" s="182">
        <v>62</v>
      </c>
      <c r="N11" s="182">
        <v>131</v>
      </c>
      <c r="O11" s="180">
        <v>86</v>
      </c>
      <c r="P11" s="182">
        <v>21</v>
      </c>
      <c r="Q11" s="182">
        <v>9</v>
      </c>
      <c r="R11" s="182">
        <v>171</v>
      </c>
      <c r="S11" s="182">
        <v>423</v>
      </c>
      <c r="T11" s="182">
        <v>223</v>
      </c>
      <c r="U11" s="182">
        <v>204</v>
      </c>
      <c r="V11" s="182">
        <v>442</v>
      </c>
      <c r="W11" s="182">
        <v>51</v>
      </c>
      <c r="X11" s="188">
        <v>125</v>
      </c>
      <c r="Y11" s="190">
        <v>168</v>
      </c>
      <c r="Z11" s="180">
        <v>93</v>
      </c>
      <c r="AA11" s="180">
        <v>91</v>
      </c>
      <c r="AB11" s="180">
        <v>170</v>
      </c>
      <c r="AC11" s="182">
        <v>0</v>
      </c>
      <c r="AD11" s="182">
        <v>0</v>
      </c>
      <c r="AE11" s="182">
        <v>0</v>
      </c>
      <c r="AF11" s="188">
        <v>0</v>
      </c>
      <c r="AG11" s="201">
        <v>99</v>
      </c>
      <c r="AH11" s="182">
        <v>72</v>
      </c>
      <c r="AI11" s="182">
        <v>72</v>
      </c>
      <c r="AJ11" s="202">
        <v>99</v>
      </c>
      <c r="AK11" s="181">
        <v>0</v>
      </c>
      <c r="AL11" s="182">
        <v>0</v>
      </c>
      <c r="AM11" s="182">
        <v>0</v>
      </c>
      <c r="AN11" s="188">
        <v>0</v>
      </c>
      <c r="AO11" s="258">
        <v>1</v>
      </c>
      <c r="AP11" s="154">
        <v>1</v>
      </c>
      <c r="AQ11" s="154">
        <v>1</v>
      </c>
      <c r="AR11" s="153">
        <v>1</v>
      </c>
      <c r="AS11" s="339" t="s">
        <v>787</v>
      </c>
      <c r="AT11" s="202"/>
      <c r="AU11" s="201"/>
      <c r="AV11" s="202"/>
      <c r="AW11" s="201"/>
      <c r="AX11" s="202"/>
      <c r="AY11" s="126">
        <f t="shared" ref="AY11:BB12" si="1">IF(ISNUMBER(IF(J_V="SI",S11,S11+AG11)),IF(J_V="SI",S11,S11+AG11)," - ")</f>
        <v>522</v>
      </c>
      <c r="AZ11" s="127">
        <f t="shared" si="1"/>
        <v>295</v>
      </c>
      <c r="BA11" s="127">
        <f t="shared" si="1"/>
        <v>276</v>
      </c>
      <c r="BB11" s="127">
        <f t="shared" si="1"/>
        <v>541</v>
      </c>
      <c r="BC11" s="125">
        <f>IF(ISNUMBER(X11),X11," - ")</f>
        <v>125</v>
      </c>
      <c r="BD11" s="126">
        <f t="shared" ref="BD11:BD12" si="2">IF(ISNUMBER(BA11/AZ11),BA11/AZ11," - ")</f>
        <v>0.93559322033898307</v>
      </c>
      <c r="BE11" s="127">
        <f t="shared" ref="BE11:BE12" si="3">IF(ISNUMBER(BB11/BA11),BB11/BA11, " - ")</f>
        <v>1.9601449275362319</v>
      </c>
      <c r="BF11" s="127">
        <f t="shared" ref="BF11:BF12" si="4">IF(ISNUMBER(BC11/BA11),BC11/BA11, " - ")</f>
        <v>0.45289855072463769</v>
      </c>
      <c r="BG11" s="195">
        <f t="shared" ref="BG11:BG12" si="5">IF(ISNUMBER((AY11+AZ11)/BA11),(AY11+AZ11)/BA11," - ")</f>
        <v>2.9601449275362319</v>
      </c>
      <c r="BH11" s="154">
        <v>1</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67</v>
      </c>
      <c r="J12" s="182">
        <v>0</v>
      </c>
      <c r="K12" s="182">
        <v>0</v>
      </c>
      <c r="L12" s="182">
        <v>67</v>
      </c>
      <c r="M12" s="182">
        <v>0</v>
      </c>
      <c r="N12" s="182">
        <v>0</v>
      </c>
      <c r="O12" s="180">
        <v>0</v>
      </c>
      <c r="P12" s="182">
        <v>0</v>
      </c>
      <c r="Q12" s="182">
        <v>1</v>
      </c>
      <c r="R12" s="182">
        <v>105</v>
      </c>
      <c r="S12" s="182">
        <v>68</v>
      </c>
      <c r="T12" s="182">
        <v>0</v>
      </c>
      <c r="U12" s="182">
        <v>0</v>
      </c>
      <c r="V12" s="182">
        <v>68</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68</v>
      </c>
      <c r="AZ12" s="127">
        <f t="shared" si="1"/>
        <v>0</v>
      </c>
      <c r="BA12" s="127">
        <f t="shared" si="1"/>
        <v>0</v>
      </c>
      <c r="BB12" s="127">
        <f t="shared" si="1"/>
        <v>68</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4734</v>
      </c>
      <c r="J13" s="183">
        <f t="shared" si="6"/>
        <v>1093</v>
      </c>
      <c r="K13" s="183">
        <f t="shared" si="6"/>
        <v>1865</v>
      </c>
      <c r="L13" s="183">
        <f t="shared" si="6"/>
        <v>4284</v>
      </c>
      <c r="M13" s="183">
        <f t="shared" si="6"/>
        <v>522</v>
      </c>
      <c r="N13" s="183">
        <f t="shared" si="6"/>
        <v>822</v>
      </c>
      <c r="O13" s="183">
        <f t="shared" si="6"/>
        <v>937</v>
      </c>
      <c r="P13" s="183">
        <f t="shared" si="6"/>
        <v>642</v>
      </c>
      <c r="Q13" s="183">
        <f t="shared" si="6"/>
        <v>340</v>
      </c>
      <c r="R13" s="183">
        <f t="shared" si="6"/>
        <v>8486</v>
      </c>
      <c r="S13" s="183">
        <f t="shared" si="6"/>
        <v>4028</v>
      </c>
      <c r="T13" s="183">
        <f t="shared" si="6"/>
        <v>1957</v>
      </c>
      <c r="U13" s="183">
        <f t="shared" si="6"/>
        <v>1606</v>
      </c>
      <c r="V13" s="183">
        <f t="shared" si="6"/>
        <v>4378</v>
      </c>
      <c r="W13" s="183">
        <f t="shared" si="6"/>
        <v>558</v>
      </c>
      <c r="X13" s="183">
        <f t="shared" si="6"/>
        <v>599</v>
      </c>
      <c r="Y13" s="183">
        <f t="shared" si="6"/>
        <v>302</v>
      </c>
      <c r="Z13" s="183">
        <f t="shared" si="6"/>
        <v>273</v>
      </c>
      <c r="AA13" s="183">
        <f t="shared" si="6"/>
        <v>284</v>
      </c>
      <c r="AB13" s="183">
        <f t="shared" si="6"/>
        <v>291</v>
      </c>
      <c r="AC13" s="183">
        <f t="shared" si="6"/>
        <v>0</v>
      </c>
      <c r="AD13" s="183">
        <f t="shared" si="6"/>
        <v>0</v>
      </c>
      <c r="AE13" s="183">
        <f t="shared" si="6"/>
        <v>0</v>
      </c>
      <c r="AF13" s="183">
        <f>SUBTOTAL(9,AF9:AF12)</f>
        <v>0</v>
      </c>
      <c r="AG13" s="183">
        <f t="shared" ref="AG13:AT13" si="7">SUBTOTAL(9,AG8:AG12)</f>
        <v>220</v>
      </c>
      <c r="AH13" s="183">
        <f t="shared" si="7"/>
        <v>188</v>
      </c>
      <c r="AI13" s="183">
        <f t="shared" si="7"/>
        <v>253</v>
      </c>
      <c r="AJ13" s="183">
        <f t="shared" si="7"/>
        <v>155</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4248</v>
      </c>
      <c r="AZ13" s="183">
        <f>SUBTOTAL(9,AZ8:AZ12)</f>
        <v>2145</v>
      </c>
      <c r="BA13" s="183">
        <f>SUBTOTAL(9,BA8:BA12)</f>
        <v>1859</v>
      </c>
      <c r="BB13" s="183">
        <f>SUBTOTAL(9,BB8:BB12)</f>
        <v>4533</v>
      </c>
      <c r="BC13" s="183">
        <f>SUBTOTAL(9,BC8:BC12)</f>
        <v>602</v>
      </c>
      <c r="BD13" s="204">
        <f>IF(ISNUMBER(BA13/AZ13),BA13/AZ13," - ")</f>
        <v>0.8666666666666667</v>
      </c>
      <c r="BE13" s="205">
        <f>IF(ISNUMBER(BB13/BA13),BB13/BA13, " - ")</f>
        <v>2.438407746100054</v>
      </c>
      <c r="BF13" s="205">
        <f>IF(ISNUMBER(BC13/BA13),BC13/BA13, " - ")</f>
        <v>0.32383001613770845</v>
      </c>
      <c r="BG13" s="206">
        <f>IF(ISNUMBER((AY13+AZ13)/BA13),(AY13+AZ13)/BA13," - ")</f>
        <v>3.4389456697149003</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2208</v>
      </c>
      <c r="J15" s="182">
        <v>1107</v>
      </c>
      <c r="K15" s="182">
        <v>983</v>
      </c>
      <c r="L15" s="182">
        <v>2350</v>
      </c>
      <c r="M15" s="182">
        <v>160</v>
      </c>
      <c r="N15" s="182">
        <v>498</v>
      </c>
      <c r="O15" s="180">
        <v>18</v>
      </c>
      <c r="P15" s="182">
        <v>59</v>
      </c>
      <c r="Q15" s="182">
        <v>43</v>
      </c>
      <c r="R15" s="182">
        <v>292</v>
      </c>
      <c r="S15" s="182">
        <v>2493</v>
      </c>
      <c r="T15" s="182">
        <v>1043</v>
      </c>
      <c r="U15" s="182">
        <v>891</v>
      </c>
      <c r="V15" s="182">
        <v>2667</v>
      </c>
      <c r="W15" s="182">
        <v>158</v>
      </c>
      <c r="X15" s="188">
        <v>464</v>
      </c>
      <c r="Y15" s="201">
        <v>0</v>
      </c>
      <c r="Z15" s="182">
        <v>0</v>
      </c>
      <c r="AA15" s="182">
        <v>0</v>
      </c>
      <c r="AB15" s="182">
        <v>0</v>
      </c>
      <c r="AC15" s="182">
        <v>0</v>
      </c>
      <c r="AD15" s="182">
        <v>8</v>
      </c>
      <c r="AE15" s="182">
        <v>8</v>
      </c>
      <c r="AF15" s="188">
        <v>0</v>
      </c>
      <c r="AG15" s="201">
        <v>0</v>
      </c>
      <c r="AH15" s="182">
        <v>0</v>
      </c>
      <c r="AI15" s="182">
        <v>0</v>
      </c>
      <c r="AJ15" s="202">
        <v>0</v>
      </c>
      <c r="AK15" s="181">
        <v>0</v>
      </c>
      <c r="AL15" s="182">
        <v>2</v>
      </c>
      <c r="AM15" s="182">
        <v>2</v>
      </c>
      <c r="AN15" s="188">
        <v>0</v>
      </c>
      <c r="AO15" s="258">
        <v>3</v>
      </c>
      <c r="AP15" s="154">
        <v>3</v>
      </c>
      <c r="AQ15" s="154">
        <v>3</v>
      </c>
      <c r="AR15" s="154">
        <v>3</v>
      </c>
      <c r="AS15" s="339" t="s">
        <v>517</v>
      </c>
      <c r="AT15" s="202" t="s">
        <v>322</v>
      </c>
      <c r="AU15" s="201"/>
      <c r="AV15" s="202"/>
      <c r="AW15" s="201"/>
      <c r="AX15" s="202"/>
      <c r="AY15" s="128">
        <f t="shared" ref="AY15:BB16" si="9">IF(ISNUMBER(IF(D_I="SI",S15,S15+AK15)),IF(D_I="SI",S15,S15+AK15)," - ")</f>
        <v>2493</v>
      </c>
      <c r="AZ15" s="129">
        <f t="shared" si="9"/>
        <v>1043</v>
      </c>
      <c r="BA15" s="129">
        <f t="shared" si="9"/>
        <v>891</v>
      </c>
      <c r="BB15" s="129">
        <f t="shared" si="9"/>
        <v>2667</v>
      </c>
      <c r="BC15" s="125">
        <f>IF(ISNUMBER(W15),W15," - ")</f>
        <v>158</v>
      </c>
      <c r="BD15" s="126">
        <f>IF(ISNUMBER(BA15/AZ15),BA15/AZ15," - ")</f>
        <v>0.85426653883029724</v>
      </c>
      <c r="BE15" s="127">
        <f>IF(ISNUMBER(BB15/BA15),BB15/BA15, " - ")</f>
        <v>2.9932659932659931</v>
      </c>
      <c r="BF15" s="127">
        <f>IF(ISNUMBER(BC15/BA15),BC15/BA15, " - ")</f>
        <v>0.17732884399551066</v>
      </c>
      <c r="BG15" s="195">
        <f t="shared" ref="BG15:BG16" si="10">IF(ISNUMBER((AY15+AZ15)/BA15),(AY15+AZ15)/BA15," - ")</f>
        <v>3.9685746352413021</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229</v>
      </c>
      <c r="J17" s="182">
        <v>198</v>
      </c>
      <c r="K17" s="182">
        <v>166</v>
      </c>
      <c r="L17" s="182">
        <v>261</v>
      </c>
      <c r="M17" s="182">
        <v>27</v>
      </c>
      <c r="N17" s="182">
        <v>45</v>
      </c>
      <c r="O17" s="182">
        <v>0</v>
      </c>
      <c r="P17" s="182">
        <v>5</v>
      </c>
      <c r="Q17" s="182">
        <v>0</v>
      </c>
      <c r="R17" s="182">
        <v>7</v>
      </c>
      <c r="S17" s="182">
        <v>182</v>
      </c>
      <c r="T17" s="182">
        <v>91</v>
      </c>
      <c r="U17" s="182">
        <v>82</v>
      </c>
      <c r="V17" s="182">
        <v>191</v>
      </c>
      <c r="W17" s="182">
        <v>19</v>
      </c>
      <c r="X17" s="188">
        <v>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779</v>
      </c>
      <c r="AT17" s="208"/>
      <c r="AU17" s="199"/>
      <c r="AV17" s="208"/>
      <c r="AW17" s="199"/>
      <c r="AX17" s="208"/>
      <c r="AY17" s="128">
        <f t="shared" ref="AY17:BB17" si="14">IF(ISNUMBER(S17),S17," - ")</f>
        <v>182</v>
      </c>
      <c r="AZ17" s="129">
        <f t="shared" si="14"/>
        <v>91</v>
      </c>
      <c r="BA17" s="129">
        <f t="shared" si="14"/>
        <v>82</v>
      </c>
      <c r="BB17" s="129">
        <f t="shared" si="14"/>
        <v>191</v>
      </c>
      <c r="BC17" s="125">
        <f>IF(ISNUMBER(W17),W17," - ")</f>
        <v>19</v>
      </c>
      <c r="BD17" s="126">
        <f>IF(ISNUMBER(BA17/AZ17),BA17/AZ17," - ")</f>
        <v>0.90109890109890112</v>
      </c>
      <c r="BE17" s="127">
        <f>IF(ISNUMBER(BB17/BA17),BB17/BA17, " - ")</f>
        <v>2.3292682926829267</v>
      </c>
      <c r="BF17" s="127">
        <f>IF(ISNUMBER(BC17/BA17),BC17/BA17, " - ")</f>
        <v>0.23170731707317074</v>
      </c>
      <c r="BG17" s="195">
        <f>IF(ISNUMBER((AY17+AZ17)/BA17),(AY17+AZ17)/BA17," - ")</f>
        <v>3.3292682926829267</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2437</v>
      </c>
      <c r="J18" s="183">
        <f t="shared" si="15"/>
        <v>1305</v>
      </c>
      <c r="K18" s="183">
        <f t="shared" si="15"/>
        <v>1149</v>
      </c>
      <c r="L18" s="183">
        <f t="shared" si="15"/>
        <v>2611</v>
      </c>
      <c r="M18" s="183">
        <f t="shared" si="15"/>
        <v>187</v>
      </c>
      <c r="N18" s="183">
        <f t="shared" si="15"/>
        <v>543</v>
      </c>
      <c r="O18" s="183">
        <f t="shared" si="15"/>
        <v>18</v>
      </c>
      <c r="P18" s="183">
        <f t="shared" si="15"/>
        <v>64</v>
      </c>
      <c r="Q18" s="183">
        <f t="shared" si="15"/>
        <v>43</v>
      </c>
      <c r="R18" s="183">
        <f t="shared" si="15"/>
        <v>299</v>
      </c>
      <c r="S18" s="183">
        <f t="shared" si="15"/>
        <v>2675</v>
      </c>
      <c r="T18" s="183">
        <f t="shared" si="15"/>
        <v>1134</v>
      </c>
      <c r="U18" s="183">
        <f t="shared" si="15"/>
        <v>973</v>
      </c>
      <c r="V18" s="183">
        <f t="shared" si="15"/>
        <v>2858</v>
      </c>
      <c r="W18" s="183">
        <f t="shared" si="15"/>
        <v>177</v>
      </c>
      <c r="X18" s="183">
        <f t="shared" si="15"/>
        <v>509</v>
      </c>
      <c r="Y18" s="183">
        <f t="shared" si="15"/>
        <v>0</v>
      </c>
      <c r="Z18" s="183">
        <f t="shared" si="15"/>
        <v>0</v>
      </c>
      <c r="AA18" s="183">
        <f t="shared" si="15"/>
        <v>0</v>
      </c>
      <c r="AB18" s="183">
        <f t="shared" si="15"/>
        <v>0</v>
      </c>
      <c r="AC18" s="183">
        <f t="shared" si="15"/>
        <v>0</v>
      </c>
      <c r="AD18" s="183">
        <f t="shared" si="15"/>
        <v>8</v>
      </c>
      <c r="AE18" s="183">
        <f t="shared" si="15"/>
        <v>8</v>
      </c>
      <c r="AF18" s="183">
        <f t="shared" si="15"/>
        <v>0</v>
      </c>
      <c r="AG18" s="183">
        <f t="shared" si="15"/>
        <v>0</v>
      </c>
      <c r="AH18" s="183">
        <f t="shared" si="15"/>
        <v>0</v>
      </c>
      <c r="AI18" s="183">
        <f t="shared" si="15"/>
        <v>0</v>
      </c>
      <c r="AJ18" s="183">
        <f t="shared" si="15"/>
        <v>0</v>
      </c>
      <c r="AK18" s="183">
        <f t="shared" si="15"/>
        <v>0</v>
      </c>
      <c r="AL18" s="183">
        <f t="shared" si="15"/>
        <v>2</v>
      </c>
      <c r="AM18" s="183">
        <f t="shared" si="15"/>
        <v>2</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2675</v>
      </c>
      <c r="AZ18" s="183">
        <f>SUBTOTAL(9,AZ14:AZ17)</f>
        <v>1134</v>
      </c>
      <c r="BA18" s="183">
        <f>SUBTOTAL(9,BA14:BA17)</f>
        <v>973</v>
      </c>
      <c r="BB18" s="183">
        <f>SUBTOTAL(9,BB14:BB17)</f>
        <v>2858</v>
      </c>
      <c r="BC18" s="183">
        <f>SUBTOTAL(9,BC14:BC17)</f>
        <v>177</v>
      </c>
      <c r="BD18" s="204">
        <f>IF(ISNUMBER(BA18/AZ18),BA18/AZ18," - ")</f>
        <v>0.85802469135802473</v>
      </c>
      <c r="BE18" s="205">
        <f>IF(ISNUMBER(BB18/BA18),BB18/BA18, " - ")</f>
        <v>2.9373072970195273</v>
      </c>
      <c r="BF18" s="205">
        <f>IF(ISNUMBER(BC18/BA18),BC18/BA18, " - ")</f>
        <v>0.18191161356628982</v>
      </c>
      <c r="BG18" s="206">
        <f>IF(ISNUMBER((AY18+AZ18)/BA18),(AY18+AZ18)/BA18," - ")</f>
        <v>3.9146968139773897</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7171</v>
      </c>
      <c r="J19" s="134">
        <f t="shared" si="18"/>
        <v>2398</v>
      </c>
      <c r="K19" s="134">
        <f t="shared" si="18"/>
        <v>3014</v>
      </c>
      <c r="L19" s="134">
        <f t="shared" si="18"/>
        <v>6895</v>
      </c>
      <c r="M19" s="134">
        <f t="shared" si="18"/>
        <v>709</v>
      </c>
      <c r="N19" s="134">
        <f t="shared" si="18"/>
        <v>1365</v>
      </c>
      <c r="O19" s="134">
        <f t="shared" si="18"/>
        <v>955</v>
      </c>
      <c r="P19" s="134">
        <f t="shared" si="18"/>
        <v>706</v>
      </c>
      <c r="Q19" s="134">
        <f t="shared" si="18"/>
        <v>383</v>
      </c>
      <c r="R19" s="134">
        <f t="shared" si="18"/>
        <v>8785</v>
      </c>
      <c r="S19" s="134">
        <f t="shared" si="18"/>
        <v>6703</v>
      </c>
      <c r="T19" s="134">
        <f t="shared" si="18"/>
        <v>3091</v>
      </c>
      <c r="U19" s="134">
        <f t="shared" si="18"/>
        <v>2579</v>
      </c>
      <c r="V19" s="134">
        <f t="shared" si="18"/>
        <v>7236</v>
      </c>
      <c r="W19" s="134">
        <f t="shared" si="18"/>
        <v>735</v>
      </c>
      <c r="X19" s="134">
        <f t="shared" si="18"/>
        <v>1108</v>
      </c>
      <c r="Y19" s="134">
        <f t="shared" si="18"/>
        <v>302</v>
      </c>
      <c r="Z19" s="134">
        <f t="shared" si="18"/>
        <v>273</v>
      </c>
      <c r="AA19" s="134">
        <f t="shared" si="18"/>
        <v>284</v>
      </c>
      <c r="AB19" s="134">
        <f t="shared" si="18"/>
        <v>291</v>
      </c>
      <c r="AC19" s="134">
        <f t="shared" si="18"/>
        <v>0</v>
      </c>
      <c r="AD19" s="134">
        <f t="shared" si="18"/>
        <v>8</v>
      </c>
      <c r="AE19" s="134">
        <f t="shared" si="18"/>
        <v>8</v>
      </c>
      <c r="AF19" s="134">
        <f t="shared" si="18"/>
        <v>0</v>
      </c>
      <c r="AG19" s="134">
        <f t="shared" si="18"/>
        <v>220</v>
      </c>
      <c r="AH19" s="134">
        <f t="shared" si="18"/>
        <v>188</v>
      </c>
      <c r="AI19" s="134">
        <f t="shared" si="18"/>
        <v>253</v>
      </c>
      <c r="AJ19" s="134">
        <f t="shared" si="18"/>
        <v>155</v>
      </c>
      <c r="AK19" s="134">
        <f t="shared" si="18"/>
        <v>0</v>
      </c>
      <c r="AL19" s="134">
        <f t="shared" si="18"/>
        <v>2</v>
      </c>
      <c r="AM19" s="134">
        <f t="shared" si="18"/>
        <v>2</v>
      </c>
      <c r="AN19" s="209">
        <f t="shared" si="18"/>
        <v>0</v>
      </c>
      <c r="AO19" s="210">
        <v>10</v>
      </c>
      <c r="AP19" s="210">
        <v>9</v>
      </c>
      <c r="AQ19" s="210">
        <v>9</v>
      </c>
      <c r="AR19" s="210">
        <v>9</v>
      </c>
      <c r="AS19" s="152">
        <f t="shared" si="18"/>
        <v>0</v>
      </c>
      <c r="AT19" s="152">
        <f t="shared" si="18"/>
        <v>0</v>
      </c>
      <c r="AU19" s="210"/>
      <c r="AV19" s="211"/>
      <c r="AW19" s="210"/>
      <c r="AX19" s="211"/>
      <c r="AY19" s="133">
        <f>SUBTOTAL(9,AY9:AY18)</f>
        <v>6923</v>
      </c>
      <c r="AZ19" s="134">
        <f>SUBTOTAL(9,AZ9:AZ18)</f>
        <v>3279</v>
      </c>
      <c r="BA19" s="134">
        <f>SUBTOTAL(9,BA9:BA18)</f>
        <v>2832</v>
      </c>
      <c r="BB19" s="134">
        <f>SUBTOTAL(9,BB9:BB18)</f>
        <v>7391</v>
      </c>
      <c r="BC19" s="135">
        <f>SUBTOTAL(9,BC9:BC18)</f>
        <v>779</v>
      </c>
      <c r="BD19" s="212">
        <f>IF(ISNUMBER(BA19/AZ19),BA19/AZ19," - ")</f>
        <v>0.86367795059469354</v>
      </c>
      <c r="BE19" s="209">
        <f>IF(ISNUMBER(BB19/BA19),BB19/BA19, " - ")</f>
        <v>2.6098163841807911</v>
      </c>
      <c r="BF19" s="209">
        <f>IF(ISNUMBER(BC19/BA19),BC19/BA19, " - ")</f>
        <v>0.27507062146892658</v>
      </c>
      <c r="BG19" s="135">
        <f>IF(ISNUMBER((AY19+AZ19)/BA19),(AY19+AZ19)/BA19," - ")</f>
        <v>3.602401129943503</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3g7WBSoAQZBCrIyN8zVSBEtOj2hg/GKWusJGjcVjex25g/VNzUcrYVX9UQJYNzaZqeDn+G8qIdIJ0+i3qWFTQ==" saltValue="H9vvUImtTp5O6Z72m8sD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Efxz6BSgCadH2jPA/vhLpL1BW0BsP6PiitQcAXxPY34jlrQzpCasETIBvmQYk3rFiFCr1drAGH05KMHkizEMg==" saltValue="eSblc8Xb/9A53fkeqzL6E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FERROL</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5</v>
      </c>
      <c r="B9" s="500" t="s">
        <v>242</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180</v>
      </c>
      <c r="O9" s="333"/>
      <c r="P9" s="333"/>
      <c r="Q9" s="225">
        <f>IF(ISNUMBER(Datos!P9),Datos!P9,0)</f>
        <v>616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330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121</v>
      </c>
      <c r="AI9" s="333" t="str">
        <f>IF(ISNUMBER(Datos!CD9),Datos!CD9,"-")</f>
        <v>-</v>
      </c>
      <c r="AJ9" s="333" t="str">
        <f>IF(ISNUMBER(Datos!EN9),Datos!EN9," - ")</f>
        <v xml:space="preserve"> - </v>
      </c>
      <c r="AK9" s="333"/>
      <c r="AL9" s="478"/>
      <c r="AM9" s="334">
        <f>IF(ISNUMBER(Datos!R9),Datos!R9," - ")</f>
        <v>8112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459</v>
      </c>
      <c r="BD9" s="228">
        <f>IF(ISNUMBER(Datos!N9),Datos!N9," - ")</f>
        <v>690</v>
      </c>
      <c r="BE9" s="228" t="str">
        <f>IF(ISNUMBER(Datos!BW9),Datos!BW9," - ")</f>
        <v xml:space="preserve"> - </v>
      </c>
      <c r="BF9" s="227" t="str">
        <f>IF(ISNUMBER(Datos!BX9),Datos!BX9," - ")</f>
        <v xml:space="preserve"> - </v>
      </c>
      <c r="BG9" s="242">
        <f>IF(ISNUMBER(IF(J_V="SI",Datos!K9/Datos!J9,(Datos!K9+Datos!AA9)/(Datos!J9+Datos!Z9))),IF(J_V="SI",Datos!K9/Datos!J9,(Datos!K9+Datos!AA9)/(Datos!J9+Datos!Z9))," - ")</f>
        <v>1.7268518518518519</v>
      </c>
      <c r="BH9" s="259">
        <f>IF(ISNUMBER(((IF(J_V="SI",Datos!L9/Datos!K9,(Datos!L9+Datos!AB9)/(Datos!K9+Datos!AA9)))*11)/factor_trimestre),((IF(J_V="SI",Datos!L9/Datos!K9,(Datos!L9+Datos!AB9)/(Datos!K9+Datos!AA9)))*11)/factor_trimestre," - ")</f>
        <v>4.0418230563002684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3.6544850498338874E-2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242</v>
      </c>
      <c r="C10" s="7" t="str">
        <f>Datos!A10</f>
        <v>Jdos. Violencia contra la mujer/Secc Viol. TI.</v>
      </c>
      <c r="D10" s="507"/>
      <c r="E10" s="259">
        <f>IF(ISNUMBER(Datos!AQ10),Datos!AQ10," - ")</f>
        <v>0</v>
      </c>
      <c r="F10" s="224">
        <f>IF(ISNUMBER(Datos!L10+Datos!K10-Datos!J10),Datos!L10+Datos!K10-Datos!J10," - ")</f>
        <v>148</v>
      </c>
      <c r="G10" s="332">
        <f>IF(ISNUMBER(Datos!I10),Datos!I10," - ")</f>
        <v>148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0</v>
      </c>
      <c r="AD10" s="333"/>
      <c r="AE10" s="483"/>
      <c r="AF10" s="331">
        <f>IF(ISNUMBER(Datos!L10),Datos!L10,"-")</f>
        <v>153</v>
      </c>
      <c r="AG10" s="333"/>
      <c r="AH10" s="333"/>
      <c r="AI10" s="333"/>
      <c r="AJ10" s="333"/>
      <c r="AK10" s="333"/>
      <c r="AL10" s="478"/>
      <c r="AM10" s="334">
        <f>IF(ISNUMBER(Datos!R10),Datos!R10," - ")</f>
        <v>98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1</v>
      </c>
      <c r="BE10" s="228" t="str">
        <f>IF(ISNUMBER(Datos!BW10),Datos!BW10," - ")</f>
        <v xml:space="preserve"> - </v>
      </c>
      <c r="BF10" s="227" t="str">
        <f>IF(ISNUMBER(Datos!BX10),Datos!BX10," - ")</f>
        <v xml:space="preserve"> - </v>
      </c>
      <c r="BG10" s="242">
        <f>IF(ISNUMBER(Datos!K10/Datos!J10),Datos!K10/Datos!J10," - ")</f>
        <v>0.54545454545454541</v>
      </c>
      <c r="BH10" s="259">
        <f>IF(ISNUMBER(((Datos!L10/Datos!K10)*11)/factor_trimestre),((Datos!L10/Datos!K10)*11)/factor_trimestre," - ")</f>
        <v>51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5.3763440860215055E-2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1</v>
      </c>
      <c r="B11" s="506" t="s">
        <v>242</v>
      </c>
      <c r="C11" s="7" t="str">
        <f>Datos!A11</f>
        <v xml:space="preserve">Jdos. Familia                                   </v>
      </c>
      <c r="D11" s="507"/>
      <c r="E11" s="259">
        <f>IF(ISNUMBER(Datos!AQ11),Datos!AQ11," - ")</f>
        <v>1</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93</v>
      </c>
      <c r="O11" s="333"/>
      <c r="P11" s="333"/>
      <c r="Q11" s="225">
        <f>IF(ISNUMBER(Datos!P11),Datos!P11,0)</f>
        <v>21</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9</v>
      </c>
      <c r="AD11" s="333"/>
      <c r="AE11" s="483"/>
      <c r="AF11" s="331" t="str">
        <f>IF(ISNUMBER(IF(J_V="SI",Datos!L11,Datos!L11+Datos!AB11)-IF(Monitorios="SI",Datos!CD11,0)),
                          IF(J_V="SI",Datos!L11,Datos!L11+Datos!AB11)-IF(Monitorios="SI",Datos!CD11,0),
                          " - ")</f>
        <v xml:space="preserve"> - </v>
      </c>
      <c r="AG11" s="333"/>
      <c r="AH11" s="333">
        <f>IF(ISNUMBER(Datos!AB11),Datos!AB11,"-")</f>
        <v>170</v>
      </c>
      <c r="AI11" s="333"/>
      <c r="AJ11" s="333"/>
      <c r="AK11" s="333"/>
      <c r="AL11" s="478"/>
      <c r="AM11" s="334">
        <f>IF(ISNUMBER(Datos!R11),Datos!R11," - ")</f>
        <v>171</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62</v>
      </c>
      <c r="BD11" s="228">
        <f>IF(ISNUMBER(Datos!N11),Datos!N11," - ")</f>
        <v>131</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1.010909090909091</v>
      </c>
      <c r="BH11" s="259">
        <f>IF(ISNUMBER(((IF(J_V="SI",Datos!L11/Datos!K11,(Datos!L11+Datos!AB11)/(Datos!K11+Datos!AA11)))*11)/factor_trimestre),((IF(J_V="SI",Datos!L11/Datos!K11,(Datos!L11+Datos!AB11)/(Datos!K11+Datos!AA11)))*11)/factor_trimestre," - ")</f>
        <v>4.2158273381294968</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7.5471698113207544E-2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105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-9.433962264150943E-3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148</v>
      </c>
      <c r="G13" s="897">
        <f t="shared" si="0"/>
        <v>148</v>
      </c>
      <c r="H13" s="898">
        <f t="shared" si="0"/>
        <v>0</v>
      </c>
      <c r="I13" s="897">
        <f t="shared" si="0"/>
        <v>0</v>
      </c>
      <c r="J13" s="866">
        <f t="shared" si="0"/>
        <v>0</v>
      </c>
      <c r="K13" s="866">
        <f t="shared" si="0"/>
        <v>0</v>
      </c>
      <c r="L13" s="898">
        <f t="shared" si="0"/>
        <v>0</v>
      </c>
      <c r="M13" s="898">
        <f t="shared" si="0"/>
        <v>0</v>
      </c>
      <c r="N13" s="898">
        <f t="shared" si="0"/>
        <v>273</v>
      </c>
      <c r="O13" s="899">
        <f t="shared" si="0"/>
        <v>0</v>
      </c>
      <c r="P13" s="899">
        <f t="shared" si="0"/>
        <v>0</v>
      </c>
      <c r="Q13" s="898">
        <f t="shared" si="0"/>
        <v>642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340</v>
      </c>
      <c r="AD13" s="898">
        <f t="shared" si="1"/>
        <v>0</v>
      </c>
      <c r="AE13" s="898">
        <f t="shared" si="1"/>
        <v>0</v>
      </c>
      <c r="AF13" s="898">
        <f t="shared" si="1"/>
        <v>153</v>
      </c>
      <c r="AG13" s="898">
        <f t="shared" si="1"/>
        <v>0</v>
      </c>
      <c r="AH13" s="898">
        <f t="shared" si="1"/>
        <v>291</v>
      </c>
      <c r="AI13" s="898">
        <f t="shared" si="1"/>
        <v>0</v>
      </c>
      <c r="AJ13" s="898">
        <f t="shared" si="1"/>
        <v>0</v>
      </c>
      <c r="AK13" s="898">
        <f t="shared" si="1"/>
        <v>0</v>
      </c>
      <c r="AL13" s="898">
        <f t="shared" si="1"/>
        <v>0</v>
      </c>
      <c r="AM13" s="898">
        <f t="shared" si="1"/>
        <v>8486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522</v>
      </c>
      <c r="BD13" s="898">
        <f t="shared" si="1"/>
        <v>822</v>
      </c>
      <c r="BE13" s="898">
        <f t="shared" si="1"/>
        <v>0</v>
      </c>
      <c r="BF13" s="898">
        <f t="shared" si="1"/>
        <v>0</v>
      </c>
      <c r="BG13" s="898">
        <f>IF(ISNUMBER(Datos!K13/Datos!J13),Datos!K13/Datos!J13," - ")</f>
        <v>1.7063129002744739</v>
      </c>
      <c r="BH13" s="902">
        <f>IF(ISNUMBER(((Datos!L13/Datos!K13)*11)/factor_trimestre),((Datos!L13/Datos!K13)*11)/factor_trimestre," - ")</f>
        <v>4.5941018766756034</v>
      </c>
      <c r="BI13" s="898">
        <f>IF(ISNUMBER('Resol  Asuntos'!D13/NºAsuntos!G13),'Resol  Asuntos'!D13/NºAsuntos!G13," - ")</f>
        <v>0.24290367612843183</v>
      </c>
      <c r="BJ13" s="898" t="str">
        <f>IF(ISNUMBER(Datos!CI13/Datos!CJ13),Datos!CI13/Datos!CJ13," - ")</f>
        <v xml:space="preserve"> - </v>
      </c>
      <c r="BK13" s="898">
        <f>SUBTOTAL(9,BK8:BK12)</f>
        <v>0</v>
      </c>
      <c r="BL13" s="898">
        <f>IF(ISNUMBER((I13-AB13+L13)/(F13)),(I13-AB13+L13)/(F13)," - ")</f>
        <v>-4.0540540540540543E-2</v>
      </c>
      <c r="BM13" s="903">
        <f>SUBTOTAL(9,BM9:BM12)</f>
        <v>0.15634602720761054</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392</v>
      </c>
      <c r="C15" s="599" t="str">
        <f>Datos!A15</f>
        <v xml:space="preserve">Jdos. Instrucción                               </v>
      </c>
      <c r="D15" s="600"/>
      <c r="E15" s="1164">
        <f>IF(ISNUMBER(Datos!AQ15),Datos!AQ15," - ")</f>
        <v>3</v>
      </c>
      <c r="F15" s="594">
        <f>IF(ISNUMBER(AF15+AB15-Datos!J15-L15),AF15+AB15-Datos!J15-L15," - ")</f>
        <v>2226</v>
      </c>
      <c r="G15" s="597">
        <f>IF(ISNUMBER(IF(D_I="SI",Datos!I15,Datos!I15+Datos!AC15)),IF(D_I="SI",Datos!I15,Datos!I15+Datos!AC15)," - ")</f>
        <v>2208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59</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983</v>
      </c>
      <c r="AC15" s="225">
        <f>IF(ISNUMBER(Datos!Q15),Datos!Q15," - ")</f>
        <v>43</v>
      </c>
      <c r="AD15" s="333"/>
      <c r="AE15" s="483"/>
      <c r="AF15" s="595">
        <f>IF(ISNUMBER(IF(D_I="SI",Datos!L15,Datos!L15+Datos!AF15)),IF(D_I="SI",Datos!L15,Datos!L15+Datos!AF15)," - ")</f>
        <v>2350</v>
      </c>
      <c r="AG15" s="333"/>
      <c r="AH15" s="333"/>
      <c r="AI15" s="333"/>
      <c r="AJ15" s="333"/>
      <c r="AK15" s="333"/>
      <c r="AL15" s="478"/>
      <c r="AM15" s="334">
        <f>IF(ISNUMBER(Datos!R15),Datos!R15," - ")</f>
        <v>292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160</v>
      </c>
      <c r="BD15" s="228">
        <f>IF(ISNUMBER(Datos!N15),Datos!N15," - ")</f>
        <v>498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0.88798554652213191</v>
      </c>
      <c r="BH15" s="259">
        <f>IF(ISNUMBER(((IF(D_I="SI",Datos!L15/Datos!K15,(Datos!L15+Datos!AF15)/(Datos!K15+Datos!AE15)))*11)/factor_trimestre),((IF(D_I="SI",Datos!L15/Datos!K15,(Datos!L15+Datos!AF15)/(Datos!K15+Datos!AE15)))*11)/factor_trimestre," - ")</f>
        <v>4.7812817904374363</v>
      </c>
      <c r="BI15" s="242">
        <f>IF(ISNUMBER('Resol  Asuntos'!D15/NºAsuntos!G15),'Resol  Asuntos'!D15/NºAsuntos!G15," - ")</f>
        <v>0.16276703967446593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392</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229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166</v>
      </c>
      <c r="AC17" s="225">
        <f>IF(ISNUMBER(Datos!Q17),Datos!Q17," - ")</f>
        <v>0</v>
      </c>
      <c r="AD17" s="333"/>
      <c r="AE17" s="483"/>
      <c r="AF17" s="331">
        <f>IF(ISNUMBER(Datos!L17),Datos!L17,"-")</f>
        <v>261</v>
      </c>
      <c r="AG17" s="333"/>
      <c r="AH17" s="333"/>
      <c r="AI17" s="333"/>
      <c r="AJ17" s="333"/>
      <c r="AK17" s="333"/>
      <c r="AL17" s="478"/>
      <c r="AM17" s="334">
        <f>IF(ISNUMBER(Datos!R17),Datos!R17," - ")</f>
        <v>7</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0.83838383838383834</v>
      </c>
      <c r="BH17" s="259">
        <f>IF(ISNUMBER(((IF(D_I="SI",Datos!L17/Datos!K17,(Datos!L17+Datos!AF17)/(Datos!K17+Datos!AE17)))*11)/factor_trimestre),((IF(D_I="SI",Datos!L17/Datos!K17,(Datos!L17+Datos!AF17)/(Datos!K17+Datos!AE17)))*11)/factor_trimestre," - ")</f>
        <v>3.1445783132530121</v>
      </c>
      <c r="BI17" s="242">
        <f>IF(ISNUMBER('Resol  Asuntos'!D17/NºAsuntos!G17),'Resol  Asuntos'!D17/NºAsuntos!G17," - ")</f>
        <v>0.16265060240963855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3</v>
      </c>
      <c r="F18" s="897">
        <f>SUBTOTAL(9,F15:F17)</f>
        <v>2226</v>
      </c>
      <c r="G18" s="897">
        <f>SUBTOTAL(9,G15:G17)</f>
        <v>2437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1149</v>
      </c>
      <c r="AC18" s="898">
        <f t="shared" si="4"/>
        <v>43</v>
      </c>
      <c r="AD18" s="898">
        <f t="shared" si="4"/>
        <v>0</v>
      </c>
      <c r="AE18" s="898">
        <f t="shared" si="4"/>
        <v>0</v>
      </c>
      <c r="AF18" s="898">
        <f t="shared" si="4"/>
        <v>2611</v>
      </c>
      <c r="AG18" s="898">
        <f t="shared" si="4"/>
        <v>0</v>
      </c>
      <c r="AH18" s="898">
        <f t="shared" si="4"/>
        <v>0</v>
      </c>
      <c r="AI18" s="898">
        <f t="shared" si="4"/>
        <v>0</v>
      </c>
      <c r="AJ18" s="898">
        <f t="shared" si="4"/>
        <v>0</v>
      </c>
      <c r="AK18" s="898">
        <f t="shared" si="4"/>
        <v>0</v>
      </c>
      <c r="AL18" s="898">
        <f t="shared" si="4"/>
        <v>0</v>
      </c>
      <c r="AM18" s="898">
        <f t="shared" si="4"/>
        <v>299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187</v>
      </c>
      <c r="BD18" s="898">
        <f t="shared" si="4"/>
        <v>543</v>
      </c>
      <c r="BE18" s="898">
        <f t="shared" si="4"/>
        <v>0</v>
      </c>
      <c r="BF18" s="898">
        <f t="shared" si="4"/>
        <v>0</v>
      </c>
      <c r="BG18" s="898">
        <f>IF(ISNUMBER(Datos!K18/Datos!J18),Datos!K18/Datos!J18," - ")</f>
        <v>0.88045977011494247</v>
      </c>
      <c r="BH18" s="902">
        <f>IF(ISNUMBER(((Datos!L18/Datos!K18)*11)/factor_trimestre),((Datos!L18/Datos!K18)*11)/factor_trimestre," - ")</f>
        <v>4.5448215839860753</v>
      </c>
      <c r="BI18" s="898">
        <f>SUBTOTAL(9,BI15:BI17)</f>
        <v>0.32541764208410451</v>
      </c>
      <c r="BJ18" s="898">
        <f>SUBTOTAL(9,BJ15:BJ17)</f>
        <v>0</v>
      </c>
      <c r="BK18" s="898">
        <f>SUBTOTAL(9,BK15:BK17)</f>
        <v>0</v>
      </c>
      <c r="BL18" s="898">
        <f>IF(ISNUMBER((I18-AB18+L18)/(F18)),(I18-AB18+L18)/(F18)," - ")</f>
        <v>-0.51617250673854442</v>
      </c>
      <c r="BM18" s="904">
        <f>IF(ISNUMBER((Datos!P18-Datos!Q18)/(Datos!R18-Datos!P18+Datos!Q18)),(Datos!P18-Datos!Q18)/(Datos!R18-Datos!P18+Datos!Q18)," - ")</f>
        <v>7.5539568345323743E-2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9</v>
      </c>
      <c r="F19" s="819">
        <f t="shared" si="6"/>
        <v>2374</v>
      </c>
      <c r="G19" s="819">
        <f t="shared" si="6"/>
        <v>2585</v>
      </c>
      <c r="H19" s="821">
        <f t="shared" si="6"/>
        <v>0</v>
      </c>
      <c r="I19" s="819">
        <f t="shared" si="6"/>
        <v>0</v>
      </c>
      <c r="J19" s="821">
        <f t="shared" si="6"/>
        <v>0</v>
      </c>
      <c r="K19" s="821">
        <f t="shared" si="6"/>
        <v>0</v>
      </c>
      <c r="L19" s="880">
        <f t="shared" si="6"/>
        <v>0</v>
      </c>
      <c r="M19" s="880">
        <f t="shared" si="6"/>
        <v>0</v>
      </c>
      <c r="N19" s="880">
        <f t="shared" si="6"/>
        <v>273</v>
      </c>
      <c r="O19" s="880">
        <f t="shared" si="6"/>
        <v>0</v>
      </c>
      <c r="P19" s="880">
        <f t="shared" si="6"/>
        <v>0</v>
      </c>
      <c r="Q19" s="821">
        <f t="shared" si="6"/>
        <v>706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1155</v>
      </c>
      <c r="AC19" s="820">
        <f t="shared" si="7"/>
        <v>383</v>
      </c>
      <c r="AD19" s="820">
        <f t="shared" si="7"/>
        <v>0</v>
      </c>
      <c r="AE19" s="820">
        <f t="shared" si="7"/>
        <v>0</v>
      </c>
      <c r="AF19" s="827">
        <f t="shared" si="7"/>
        <v>2764</v>
      </c>
      <c r="AG19" s="827">
        <f t="shared" si="7"/>
        <v>0</v>
      </c>
      <c r="AH19" s="827">
        <f t="shared" si="7"/>
        <v>291</v>
      </c>
      <c r="AI19" s="827">
        <f t="shared" si="7"/>
        <v>0</v>
      </c>
      <c r="AJ19" s="820">
        <f t="shared" si="7"/>
        <v>0</v>
      </c>
      <c r="AK19" s="827">
        <f t="shared" si="7"/>
        <v>0</v>
      </c>
      <c r="AL19" s="827">
        <f t="shared" si="7"/>
        <v>0</v>
      </c>
      <c r="AM19" s="827">
        <f t="shared" si="7"/>
        <v>8785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709</v>
      </c>
      <c r="BD19" s="819">
        <f t="shared" si="7"/>
        <v>1365</v>
      </c>
      <c r="BE19" s="819">
        <f t="shared" si="7"/>
        <v>0</v>
      </c>
      <c r="BF19" s="829">
        <f t="shared" si="7"/>
        <v>0</v>
      </c>
      <c r="BG19" s="914">
        <f>IF(ISNUMBER(Datos!K19/Datos!J19),Datos!K19/Datos!J19," - ")</f>
        <v>1.2568807339449541</v>
      </c>
      <c r="BH19" s="914">
        <f>IF(ISNUMBER(((Datos!L19/Datos!K19)*11)/factor_trimestre),((Datos!L19/Datos!K19)*11)/factor_trimestre," - ")</f>
        <v>4.5753151957531522</v>
      </c>
      <c r="BI19" s="812">
        <f>IF(ISNUMBER(Datos!J19/Datos!I19),Datos!J19/Datos!I19," - ")</f>
        <v>0.33440245432994004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-0.48652064026958719</v>
      </c>
      <c r="BM19" s="888">
        <f>IF(ISNUMBER((Datos!P19-Datos!Q19+R19)/(Datos!R19-Datos!P19+Datos!Q19-R19)),(Datos!P19-Datos!Q19+R19)/(Datos!R19-Datos!P19+Datos!Q19-R19)," - ")</f>
        <v>3.8170645237532497E-2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1034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2.3452078799117149</v>
      </c>
      <c r="F21" s="550">
        <f>IF(ISNUMBER(STDEV(F8:F18)),STDEV(F8:F18),"-")</f>
        <v>1199.7338593760423</v>
      </c>
      <c r="G21" s="551">
        <f>IF(ISNUMBER(STDEV(G8:G18)),STDEV(G8:G18),"-")</f>
        <v>1179.48102994495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558.32293522655868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205.97069833213794</v>
      </c>
      <c r="BD21" s="550"/>
      <c r="BE21" s="550">
        <f>IF(ISNUMBER(STDEV(BE8:BE18)),STDEV(BE8:BE18),"-")</f>
        <v>0</v>
      </c>
      <c r="BF21" s="555">
        <f>IF(ISNUMBER(STDEV(BF8:BF18)),STDEV(BF8:BF18),"-")</f>
        <v>0</v>
      </c>
      <c r="BG21" s="774">
        <f>IF(ISNUMBER(STDEV(BG8:BG18)),STDEV(BG8:BG18),"-")</f>
        <v>0.45388562225148382</v>
      </c>
      <c r="BH21" s="775">
        <f>IF(ISNUMBER(STDEV(BH8:BH18)),STDEV(BH8:BH18),"-")</f>
        <v>17.689265130655293</v>
      </c>
      <c r="BI21" s="248">
        <f>IF(ISNUMBER(STDEV(BI8:BI18)),STDEV(BI8:BI18),"-")</f>
        <v>7.7792101220414828E-2</v>
      </c>
      <c r="BJ21" s="229" t="str">
        <f>IF(ISNUMBER(BL21/BM21),BL21/BM21," - ")</f>
        <v xml:space="preserve"> - </v>
      </c>
      <c r="BK21" s="574"/>
      <c r="BL21" s="558">
        <f>IF(ISNUMBER(STDEV(BL8:BL18)),STDEV(BL8:BL18),"-")</f>
        <v>0.33632258864769926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KE1Nv/uBq6EUvfMefudxr9oL7yHGkiPErsXPNPOpDvnN9axhryDWAkfxKjvvDrnDa8/dDVVjm6c2p9Sa43l87w==" saltValue="EbBcPYpfuBKNyi2Jxascd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FERROL</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3 al 3</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616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330</v>
      </c>
      <c r="AA9" s="331" t="str">
        <f>IF(ISNUMBER(IF(J_V="SI",Datos!L9,Datos!L9+Datos!AB9)-IF(Monitorios="SI",Datos!CD9,0)),
                          IF(J_V="SI",Datos!L9,Datos!L9+Datos!AB9)-IF(Monitorios="SI",Datos!CD9,0),
                          " - ")</f>
        <v xml:space="preserve"> - </v>
      </c>
      <c r="AB9" s="333"/>
      <c r="AC9" s="333"/>
      <c r="AD9" s="483"/>
      <c r="AE9" s="483">
        <f>IF(ISNUMBER(Datos!R9),Datos!R9," - ")</f>
        <v>8112</v>
      </c>
      <c r="AF9" s="228" t="str">
        <f>IF(ISNUMBER(Datos!BV9),Datos!BV9," - ")</f>
        <v xml:space="preserve"> - </v>
      </c>
      <c r="AG9" s="224" t="str">
        <f>IF(ISNUMBER(Datos!DV9),Datos!DV9," - ")</f>
        <v xml:space="preserve"> - </v>
      </c>
      <c r="AH9" s="297"/>
      <c r="AI9" s="226"/>
      <c r="AJ9" s="224">
        <f>IF(ISNUMBER(Datos!M9),Datos!M9," - ")</f>
        <v>459</v>
      </c>
      <c r="AK9" s="228">
        <f>IF(ISNUMBER(Datos!N9),Datos!N9," - ")</f>
        <v>690</v>
      </c>
      <c r="AL9" s="228" t="str">
        <f>IF(ISNUMBER(Datos!BW9),Datos!BW9," - ")</f>
        <v xml:space="preserve"> - </v>
      </c>
      <c r="AM9" s="227" t="str">
        <f>IF(ISNUMBER(Datos!BX9),Datos!BX9," - ")</f>
        <v xml:space="preserve"> - </v>
      </c>
      <c r="AN9" s="242"/>
      <c r="AO9" s="259">
        <f>IF(ISNUMBER(((NºAsuntos!I9/NºAsuntos!G9)*11)/factor_trimestre),((NºAsuntos!I9/NºAsuntos!G9)*11)/factor_trimestre," - ")</f>
        <v>4.0418230563002684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3.6544850498338874E-2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242</v>
      </c>
      <c r="C10" s="7" t="str">
        <f>Datos!A10</f>
        <v>Jdos. Violencia contra la mujer/Secc Viol. TI.</v>
      </c>
      <c r="D10" s="507"/>
      <c r="E10" s="1167">
        <f>IF(ISNUMBER(Datos!AQ10),Datos!AQ10," - ")</f>
        <v>0</v>
      </c>
      <c r="F10" s="224">
        <f>IF(ISNUMBER(Datos!L10+Datos!K10-Datos!J10),Datos!L10+Datos!K10-Datos!J10," - ")</f>
        <v>148</v>
      </c>
      <c r="G10" s="224">
        <f>IF(ISNUMBER(Datos!I10),Datos!I10," - ")</f>
        <v>148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0</v>
      </c>
      <c r="AA10" s="331">
        <f>IF(ISNUMBER(Datos!L10),Datos!L10,"-")</f>
        <v>153</v>
      </c>
      <c r="AB10" s="333"/>
      <c r="AC10" s="333"/>
      <c r="AD10" s="483"/>
      <c r="AE10" s="483">
        <f>IF(ISNUMBER(Datos!R10),Datos!R10," - ")</f>
        <v>98</v>
      </c>
      <c r="AF10" s="228" t="str">
        <f>IF(ISNUMBER(Datos!BV10),Datos!BV10," - ")</f>
        <v xml:space="preserve"> - </v>
      </c>
      <c r="AG10" s="224" t="str">
        <f>IF(ISNUMBER(Datos!DV10),Datos!DV10," - ")</f>
        <v xml:space="preserve"> - </v>
      </c>
      <c r="AH10" s="297"/>
      <c r="AI10" s="226"/>
      <c r="AJ10" s="224">
        <f>IF(ISNUMBER(Datos!M10),Datos!M10," - ")</f>
        <v>1</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5.3763440860215055E-2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1</v>
      </c>
      <c r="B11" s="506" t="s">
        <v>242</v>
      </c>
      <c r="C11" s="7" t="str">
        <f>Datos!A11</f>
        <v xml:space="preserve">Jdos. Familia                                   </v>
      </c>
      <c r="D11" s="507"/>
      <c r="E11" s="1167">
        <f>IF(ISNUMBER(Datos!AQ11),Datos!AQ11," - ")</f>
        <v>1</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21</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9</v>
      </c>
      <c r="AA11" s="331" t="str">
        <f>IF(ISNUMBER(IF(J_V="SI",Datos!L11,Datos!L11+Datos!AB11)-IF(Monitorios="SI",Datos!CD11,0)),
                          IF(J_V="SI",Datos!L11,Datos!L11+Datos!AB11)-IF(Monitorios="SI",Datos!CD11,0),
                          " - ")</f>
        <v xml:space="preserve"> - </v>
      </c>
      <c r="AB11" s="333"/>
      <c r="AC11" s="333"/>
      <c r="AD11" s="483"/>
      <c r="AE11" s="483">
        <f>IF(ISNUMBER(Datos!R11),Datos!R11," - ")</f>
        <v>171</v>
      </c>
      <c r="AF11" s="228" t="str">
        <f>IF(ISNUMBER(Datos!BV11),Datos!BV11," - ")</f>
        <v xml:space="preserve"> - </v>
      </c>
      <c r="AG11" s="224" t="str">
        <f>IF(ISNUMBER(Datos!DV11),Datos!DV11," - ")</f>
        <v xml:space="preserve"> - </v>
      </c>
      <c r="AH11" s="297"/>
      <c r="AI11" s="226"/>
      <c r="AJ11" s="224">
        <f>IF(ISNUMBER(Datos!M11),Datos!M11," - ")</f>
        <v>62</v>
      </c>
      <c r="AK11" s="228">
        <f>IF(ISNUMBER(Datos!N11),Datos!N11," - ")</f>
        <v>131</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4.2158273381294968</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7.5471698113207544E-2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v>
      </c>
      <c r="AA12" s="331" t="str">
        <f>IF(ISNUMBER(IF(J_V="SI",Datos!L12,Datos!L12+Datos!AB12)-IF(Monitorios="SI",Datos!CD12,0)),
                          IF(J_V="SI",Datos!L12,Datos!L12+Datos!AB12)-IF(Monitorios="SI",Datos!CD12,0),
                          " - ")</f>
        <v xml:space="preserve"> - </v>
      </c>
      <c r="AB12" s="333"/>
      <c r="AC12" s="333"/>
      <c r="AD12" s="483"/>
      <c r="AE12" s="483">
        <f>IF(ISNUMBER(Datos!R12),Datos!R12," - ")</f>
        <v>105</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-9.433962264150943E-3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148</v>
      </c>
      <c r="G13" s="897">
        <f>SUBTOTAL(9,G8:G12)</f>
        <v>148</v>
      </c>
      <c r="H13" s="907"/>
      <c r="I13" s="897">
        <f t="shared" ref="I13:N13" si="0">SUBTOTAL(9,I8:I12)</f>
        <v>0</v>
      </c>
      <c r="J13" s="866">
        <f t="shared" si="0"/>
        <v>0</v>
      </c>
      <c r="K13" s="907">
        <f t="shared" si="0"/>
        <v>0</v>
      </c>
      <c r="L13" s="907">
        <f t="shared" si="0"/>
        <v>0</v>
      </c>
      <c r="M13" s="907">
        <f t="shared" si="0"/>
        <v>0</v>
      </c>
      <c r="N13" s="907">
        <f t="shared" si="0"/>
        <v>642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340</v>
      </c>
      <c r="AA13" s="899">
        <f t="shared" si="2"/>
        <v>153</v>
      </c>
      <c r="AB13" s="899">
        <f t="shared" si="2"/>
        <v>0</v>
      </c>
      <c r="AC13" s="899">
        <f t="shared" si="2"/>
        <v>0</v>
      </c>
      <c r="AD13" s="899">
        <f t="shared" si="2"/>
        <v>0</v>
      </c>
      <c r="AE13" s="899">
        <f t="shared" si="2"/>
        <v>8486</v>
      </c>
      <c r="AF13" s="907">
        <f t="shared" si="2"/>
        <v>0</v>
      </c>
      <c r="AG13" s="907">
        <f t="shared" si="2"/>
        <v>0</v>
      </c>
      <c r="AH13" s="907">
        <f t="shared" si="2"/>
        <v>0</v>
      </c>
      <c r="AI13" s="907">
        <f t="shared" si="2"/>
        <v>0</v>
      </c>
      <c r="AJ13" s="907">
        <f t="shared" si="2"/>
        <v>522</v>
      </c>
      <c r="AK13" s="907">
        <f t="shared" si="2"/>
        <v>822</v>
      </c>
      <c r="AL13" s="907">
        <f t="shared" si="2"/>
        <v>0</v>
      </c>
      <c r="AM13" s="907">
        <f t="shared" si="2"/>
        <v>0</v>
      </c>
      <c r="AN13" s="907">
        <f t="shared" si="2"/>
        <v>0</v>
      </c>
      <c r="AO13" s="903">
        <f>IF(ISNUMBER(((NºAsuntos!I13/NºAsuntos!G13)*11)/factor_trimestre),((NºAsuntos!I13/NºAsuntos!G13)*11)/factor_trimestre," - ")</f>
        <v>4.257794322940903</v>
      </c>
      <c r="AP13" s="909" t="str">
        <f>IF(ISNUMBER(Datos!CI13/Datos!CJ13),Datos!CI13/Datos!CJ13," - ")</f>
        <v xml:space="preserve"> - </v>
      </c>
      <c r="AQ13" s="927">
        <f t="shared" ref="AQ13:AV13" si="3">SUBTOTAL(9,AQ9:AQ12)</f>
        <v>0</v>
      </c>
      <c r="AR13" s="927">
        <f t="shared" si="3"/>
        <v>0.15634602720761054</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392</v>
      </c>
      <c r="C15" s="159" t="str">
        <f>Datos!A15</f>
        <v xml:space="preserve">Jdos. Instrucción                               </v>
      </c>
      <c r="D15" s="501"/>
      <c r="E15" s="1167">
        <f>IF(ISNUMBER(Datos!AQ15),Datos!AQ15," - ")</f>
        <v>3</v>
      </c>
      <c r="F15" s="332">
        <f>IF(ISNUMBER(AA15+Y15-Datos!J15-K15),AA15+Y15-Datos!J15-K15," - ")</f>
        <v>2226</v>
      </c>
      <c r="G15" s="224">
        <f>IF(ISNUMBER(IF(D_I="SI",Datos!I15,Datos!I15+Datos!AC15)),IF(D_I="SI",Datos!I15,Datos!I15+Datos!AC15)," - ")</f>
        <v>2208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59</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983</v>
      </c>
      <c r="Z15" s="618">
        <f>IF(ISNUMBER(Datos!Q15),Datos!Q15," - ")</f>
        <v>43</v>
      </c>
      <c r="AA15" s="331">
        <f>IF(ISNUMBER(IF(D_I="SI",Datos!L15,Datos!L15+Datos!AF15)),IF(D_I="SI",Datos!L15,Datos!L15+Datos!AF15)," - ")</f>
        <v>2350</v>
      </c>
      <c r="AB15" s="333"/>
      <c r="AC15" s="333"/>
      <c r="AD15" s="483"/>
      <c r="AE15" s="483">
        <f>IF(ISNUMBER(Datos!R15),Datos!R15," - ")</f>
        <v>292</v>
      </c>
      <c r="AF15" s="228" t="str">
        <f>IF(ISNUMBER(Datos!BV15),Datos!BV15," - ")</f>
        <v xml:space="preserve"> - </v>
      </c>
      <c r="AG15" s="224"/>
      <c r="AH15" s="297"/>
      <c r="AI15" s="226"/>
      <c r="AJ15" s="224">
        <f>IF(ISNUMBER(Datos!M15),Datos!M15," - ")</f>
        <v>160</v>
      </c>
      <c r="AK15" s="228">
        <f>IF(ISNUMBER(Datos!N15),Datos!N15," - ")</f>
        <v>498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4.7812817904374363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392</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229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166</v>
      </c>
      <c r="Z17" s="618">
        <f>IF(ISNUMBER(Datos!Q17),Datos!Q17," - ")</f>
        <v>0</v>
      </c>
      <c r="AA17" s="331">
        <f>IF(ISNUMBER(Datos!L17),Datos!L17,"-")</f>
        <v>261</v>
      </c>
      <c r="AB17" s="333"/>
      <c r="AC17" s="333"/>
      <c r="AD17" s="483"/>
      <c r="AE17" s="483">
        <f>IF(ISNUMBER(Datos!R17),Datos!R17," - ")</f>
        <v>7</v>
      </c>
      <c r="AF17" s="228" t="str">
        <f>IF(ISNUMBER(Datos!BV17),Datos!BV17," - ")</f>
        <v xml:space="preserve"> - </v>
      </c>
      <c r="AG17" s="224" t="str">
        <f>IF(ISNUMBER(Datos!DV17),Datos!DV17," - ")</f>
        <v xml:space="preserve"> - </v>
      </c>
      <c r="AH17" s="297"/>
      <c r="AI17" s="226"/>
      <c r="AJ17" s="224">
        <f>IF(ISNUMBER(Datos!M17),Datos!M17," - ")</f>
        <v>27</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3.1445783132530121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3</v>
      </c>
      <c r="F18" s="897">
        <f>SUBTOTAL(9,F15:F17)</f>
        <v>2226</v>
      </c>
      <c r="G18" s="897">
        <f>SUBTOTAL(9,G15:G17)</f>
        <v>2437</v>
      </c>
      <c r="H18" s="931">
        <f>SUBTOTAL(9,H15:H17)</f>
        <v>0</v>
      </c>
      <c r="I18" s="910">
        <f>SUBTOTAL(9,I15:I17)</f>
        <v>0</v>
      </c>
      <c r="J18" s="866">
        <f>SUBTOTAL(9,J14:J17)</f>
        <v>0</v>
      </c>
      <c r="K18" s="931">
        <f t="shared" ref="K18:S18" si="4">SUBTOTAL(9,K15:K17)</f>
        <v>0</v>
      </c>
      <c r="L18" s="931">
        <f t="shared" si="4"/>
        <v>0</v>
      </c>
      <c r="M18" s="931">
        <f t="shared" si="4"/>
        <v>0</v>
      </c>
      <c r="N18" s="931">
        <f t="shared" si="4"/>
        <v>64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1149</v>
      </c>
      <c r="Z18" s="931">
        <f t="shared" si="5"/>
        <v>43</v>
      </c>
      <c r="AA18" s="931">
        <f t="shared" si="5"/>
        <v>2611</v>
      </c>
      <c r="AB18" s="931">
        <f t="shared" si="5"/>
        <v>0</v>
      </c>
      <c r="AC18" s="931">
        <f t="shared" si="5"/>
        <v>0</v>
      </c>
      <c r="AD18" s="931">
        <f t="shared" si="5"/>
        <v>0</v>
      </c>
      <c r="AE18" s="931">
        <f t="shared" si="5"/>
        <v>299</v>
      </c>
      <c r="AF18" s="931">
        <f t="shared" si="5"/>
        <v>0</v>
      </c>
      <c r="AG18" s="931">
        <f t="shared" si="5"/>
        <v>0</v>
      </c>
      <c r="AH18" s="931">
        <f t="shared" si="5"/>
        <v>0</v>
      </c>
      <c r="AI18" s="931">
        <f t="shared" si="5"/>
        <v>0</v>
      </c>
      <c r="AJ18" s="931">
        <f t="shared" si="5"/>
        <v>187</v>
      </c>
      <c r="AK18" s="931">
        <f t="shared" si="5"/>
        <v>543</v>
      </c>
      <c r="AL18" s="931">
        <f t="shared" si="5"/>
        <v>0</v>
      </c>
      <c r="AM18" s="931">
        <f t="shared" si="5"/>
        <v>0</v>
      </c>
      <c r="AN18" s="931">
        <f t="shared" si="5"/>
        <v>0</v>
      </c>
      <c r="AO18" s="933">
        <f>IF(ISNUMBER(((NºAsuntos!I18/NºAsuntos!G18)*11)/factor_trimestre),((NºAsuntos!I18/NºAsuntos!G18)*11)/factor_trimestre," - ")</f>
        <v>4.5448215839860753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9</v>
      </c>
      <c r="F19" s="819">
        <f t="shared" si="7"/>
        <v>2374</v>
      </c>
      <c r="G19" s="819">
        <f t="shared" si="7"/>
        <v>2585</v>
      </c>
      <c r="H19" s="820">
        <f t="shared" si="7"/>
        <v>0</v>
      </c>
      <c r="I19" s="819">
        <f t="shared" si="7"/>
        <v>0</v>
      </c>
      <c r="J19" s="821">
        <f t="shared" si="7"/>
        <v>0</v>
      </c>
      <c r="K19" s="819">
        <f t="shared" si="7"/>
        <v>0</v>
      </c>
      <c r="L19" s="822">
        <f t="shared" si="7"/>
        <v>0</v>
      </c>
      <c r="M19" s="819">
        <f t="shared" si="7"/>
        <v>0</v>
      </c>
      <c r="N19" s="820">
        <f t="shared" si="7"/>
        <v>706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1155</v>
      </c>
      <c r="Z19" s="826">
        <f t="shared" si="8"/>
        <v>383</v>
      </c>
      <c r="AA19" s="827">
        <f t="shared" si="8"/>
        <v>2764</v>
      </c>
      <c r="AB19" s="827">
        <f t="shared" si="8"/>
        <v>0</v>
      </c>
      <c r="AC19" s="827">
        <f t="shared" si="8"/>
        <v>0</v>
      </c>
      <c r="AD19" s="828">
        <f t="shared" si="8"/>
        <v>0</v>
      </c>
      <c r="AE19" s="828">
        <f t="shared" si="8"/>
        <v>8785</v>
      </c>
      <c r="AF19" s="829">
        <f t="shared" si="8"/>
        <v>0</v>
      </c>
      <c r="AG19" s="830">
        <f t="shared" si="8"/>
        <v>0</v>
      </c>
      <c r="AH19" s="831">
        <f t="shared" si="8"/>
        <v>0</v>
      </c>
      <c r="AI19" s="829">
        <f t="shared" si="8"/>
        <v>0</v>
      </c>
      <c r="AJ19" s="819">
        <f t="shared" si="8"/>
        <v>709</v>
      </c>
      <c r="AK19" s="819">
        <f t="shared" si="8"/>
        <v>1365</v>
      </c>
      <c r="AL19" s="819">
        <f t="shared" si="8"/>
        <v>0</v>
      </c>
      <c r="AM19" s="832">
        <f t="shared" si="8"/>
        <v>0</v>
      </c>
      <c r="AN19" s="822">
        <f>IF(ISNUMBER(Datos!K19/Datos!J19),Datos!K19/Datos!J19," - ")</f>
        <v>1.2568807339449541</v>
      </c>
      <c r="AO19" s="822">
        <f>IF(ISNUMBER(FIND("06",Criterios!A8,1)),(IF(ISNUMBER(((Datos!R19/Datos!Q19)*11)/factor_trimestre),((Datos!R19/Datos!Q19)*11)/factor_trimestre," - ")),(IF(ISNUMBER(((Datos!L19/Datos!K19)*11)/factor_trimestre),((Datos!L19/Datos!K19)*11)/factor_trimestre," - ")))</f>
        <v>4.5753151957531522</v>
      </c>
      <c r="AP19" s="833" t="str">
        <f>IF(ISNUMBER(Datos!CI19/Datos!CJ19),Datos!CI19/Datos!CJ19," - ")</f>
        <v xml:space="preserve"> - </v>
      </c>
      <c r="AQ19" s="833">
        <f>IF(OR(ISNUMBER(FIND("01",Criterios!A8,1)),ISNUMBER(FIND("02",Criterios!A8,1)),ISNUMBER(FIND("03",Criterios!A8,1)),ISNUMBER(FIND("04",Criterios!A8,1))),(J19-Y19+K19)/(F19-K19),(I19-Y19+K19)/(F19-K19))</f>
        <v>-0.48652064026958719</v>
      </c>
      <c r="AR19" s="833">
        <f>IF(ISNUMBER((Datos!P19-Datos!Q19+O19)/(Datos!R19-Datos!P19+Datos!Q19-O19)),(Datos!P19-Datos!Q19+O19)/(Datos!R19-Datos!P19+Datos!Q19-O19)," - ")</f>
        <v>3.8170645237532497E-2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1034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1199.7338593760423</v>
      </c>
      <c r="G21" s="551">
        <f>IF(ISNUMBER(STDEV(G8:G18)),STDEV(G8:G18),"-")</f>
        <v>1179.48102994495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205.97069833213794</v>
      </c>
      <c r="AK21" s="251"/>
      <c r="AL21" s="251">
        <f>IF(ISNUMBER(STDEV(AL8:AL18)),STDEV(AL8:AL18),"-")</f>
        <v>0</v>
      </c>
      <c r="AM21" s="253">
        <f>IF(ISNUMBER(STDEV(AM8:AM18)),STDEV(AM8:AM18),"-")</f>
        <v>0</v>
      </c>
      <c r="AN21" s="538">
        <f>IF(ISNUMBER(STDEV(AN8:AN18)),STDEV(AN8:AN18),"-")</f>
        <v>0</v>
      </c>
      <c r="AO21" s="539">
        <f>IF(ISNUMBER(STDEV(AO8:AO18)),STDEV(AO8:AO18),"-")</f>
        <v>17.709701429739074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aQUovmf+UHzQgjC1cidwtJasknw0IFJvdQfm7bAV/gIZgGM7n1ABwAiSP/l+MBQurzxm1M3h+AB4hXpCA1BpHg==" saltValue="MCi+kdYI2zCHaVmla2USB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zfYwSu6UgrOn+0/oESE+LSIE+du+oHFWAsEnQCf5QJq0bFrR3wtUAlD+MitIX+OfZI2MtCMT5BUkbim37/jtTg==" saltValue="QRUJLgev8oVCRaGS2KUg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393" t="s">
        <v>269</v>
      </c>
      <c r="CF4" s="1394"/>
      <c r="CG4" s="1394"/>
      <c r="CH4" s="1395"/>
    </row>
    <row r="5" spans="1:156" ht="12.75" customHeight="1" thickBot="1">
      <c r="A5" s="1426" t="str">
        <f>"Año:  " &amp;Criterios!B5 &amp; "                  Trimestre   " &amp;Criterios!D5 &amp; " al " &amp;Criterios!D6</f>
        <v>Año:  2025                  Trimestre   3 al 3</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E/3mKZpSDevWJibedDMO4i/2EMa178KJR8h7B/hmYLYbcHBXOj8NfYU2wQnxnArXurjJ+ESQNaZWnuny5Cfw==" saltValue="wwzM8Q48p/w2TwBKI0MT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A CORUÑA  Resumenes por Partidos Judiciales  FERROL</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3 al 3</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0.24290367612843183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0.17175883656555505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xN6Y1V2EH+f+7Xg2subCy3E4kZHEvuthA0Z2ewoUKZWniEAsjDHJXELGmdYND24BJMUYipC71zPtxBVsk4hA==" saltValue="InYtw+AxdJy/hgeWMp4+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JpSB/C4XIvgacxV1XfTOWNqIQJgwqiWm/jUU9Nzltlh+gZKcCJFTJ/J1hXjEW+qLTLIUHUxFFOHjenH+k+YfyA==" saltValue="4Q10G8sXTbSXVn2EgQw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FERROL</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5</v>
      </c>
      <c r="C9" s="402">
        <f>IF(ISNUMBER(IF(J_V="SI",Datos!I9,Datos!I9+Datos!Y9)),IF(J_V="SI",Datos!I9,Datos!I9+Datos!Y9)," - ")</f>
        <v>4232</v>
      </c>
      <c r="D9" s="403">
        <f>IF(ISNUMBER(C9/Datos!BH9),C9/Datos!BH9," - ")</f>
        <v>846.4</v>
      </c>
      <c r="E9" s="402">
        <f>IF(ISNUMBER(IF(J_V="SI",Datos!J9,Datos!J9+Datos!Z9)),IF(J_V="SI",Datos!J9,Datos!J9+Datos!Z9)," - ")</f>
        <v>1080</v>
      </c>
      <c r="F9" s="403">
        <f>IF(ISNUMBER(E9/B9),E9/B9," - ")</f>
        <v>216</v>
      </c>
      <c r="G9" s="402">
        <f>IF(ISNUMBER(IF(J_V="SI",Datos!K9,Datos!K9+Datos!AA9)),IF(J_V="SI",Datos!K9,Datos!K9+Datos!AA9)," - ")</f>
        <v>1865</v>
      </c>
      <c r="H9" s="403">
        <f>IF(ISNUMBER(G9/B9),G9/B9," - ")</f>
        <v>373</v>
      </c>
      <c r="I9" s="402">
        <f>IF(ISNUMBER(IF(J_V="SI",Datos!L9,Datos!L9+Datos!AB9)),IF(J_V="SI",Datos!L9,Datos!L9+Datos!AB9)," - ")</f>
        <v>3769</v>
      </c>
      <c r="J9" s="403">
        <f>IF(ISNUMBER(I9/B9),I9/B9," - ")</f>
        <v>753.8</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148</v>
      </c>
      <c r="D10" s="403">
        <f>IF(ISNUMBER(C10/Datos!BH10),C10/Datos!BH10," - ")</f>
        <v>148</v>
      </c>
      <c r="E10" s="402">
        <f>IF(ISNUMBER(Datos!J10),Datos!J10," - ")</f>
        <v>11</v>
      </c>
      <c r="F10" s="403">
        <f>IF(ISNUMBER(E10/B10),E10/B10," - ")</f>
        <v>11</v>
      </c>
      <c r="G10" s="402">
        <f>IF(ISNUMBER(Datos!K10),Datos!K10," - ")</f>
        <v>6</v>
      </c>
      <c r="H10" s="403">
        <f>IF(ISNUMBER(G10/B10),G10/B10," - ")</f>
        <v>6</v>
      </c>
      <c r="I10" s="402">
        <f>IF(ISNUMBER(Datos!L10),Datos!L10," - ")</f>
        <v>153</v>
      </c>
      <c r="J10" s="403">
        <f>IF(ISNUMBER(I10/B10),I10/B10," - ")</f>
        <v>153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1</v>
      </c>
      <c r="C11" s="402">
        <f>IF(ISNUMBER(IF(J_V="SI",Datos!I11,Datos!I11+Datos!Y11)),IF(J_V="SI",Datos!I11,Datos!I11+Datos!Y11)," - ")</f>
        <v>589</v>
      </c>
      <c r="D11" s="403">
        <f>IF(ISNUMBER(C11/Datos!BH11),C11/Datos!BH11," - ")</f>
        <v>589</v>
      </c>
      <c r="E11" s="402">
        <f>IF(ISNUMBER(IF(J_V="SI",Datos!J11,Datos!J11+Datos!Z11)),IF(J_V="SI",Datos!J11,Datos!J11+Datos!Z11)," - ")</f>
        <v>275</v>
      </c>
      <c r="F11" s="403">
        <f>IF(ISNUMBER(E11/B11),E11/B11," - ")</f>
        <v>275</v>
      </c>
      <c r="G11" s="402">
        <f>IF(ISNUMBER(IF(J_V="SI",Datos!K11,Datos!K11+Datos!AA11)),IF(J_V="SI",Datos!K11,Datos!K11+Datos!AA11)," - ")</f>
        <v>278</v>
      </c>
      <c r="H11" s="403">
        <f>IF(ISNUMBER(G11/B11),G11/B11," - ")</f>
        <v>278</v>
      </c>
      <c r="I11" s="402">
        <f>IF(ISNUMBER(IF(J_V="SI",Datos!L11,Datos!L11+Datos!AB11)),IF(J_V="SI",Datos!L11,Datos!L11+Datos!AB11)," - ")</f>
        <v>586</v>
      </c>
      <c r="J11" s="403">
        <f>IF(ISNUMBER(I11/B11),I11/B11," - ")</f>
        <v>586</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67</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67</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5036</v>
      </c>
      <c r="D13" s="849" t="str">
        <f>IF(ISNUMBER(C13/Datos!BI13),C13/Datos!BI13," - ")</f>
        <v xml:space="preserve"> - </v>
      </c>
      <c r="E13" s="848">
        <f>SUBTOTAL(9,E8:E12)</f>
        <v>1366</v>
      </c>
      <c r="F13" s="849">
        <f>IF(ISNUMBER(E13/B13),E13/B13," - ")</f>
        <v>227.66666666666666</v>
      </c>
      <c r="G13" s="848">
        <f>SUBTOTAL(9,G8:G12)</f>
        <v>2149</v>
      </c>
      <c r="H13" s="849">
        <f>IF(ISNUMBER(G13/B13),G13/B13," - ")</f>
        <v>358.16666666666669</v>
      </c>
      <c r="I13" s="848">
        <f>SUBTOTAL(9,I8:I12)</f>
        <v>4575</v>
      </c>
      <c r="J13" s="849">
        <f>IF(ISNUMBER(I13/B13),I13/B13," - ")</f>
        <v>762.5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2208</v>
      </c>
      <c r="D15" s="403">
        <f>IF(ISNUMBER(C15/Datos!BH15),C15/Datos!BH15," - ")</f>
        <v>736</v>
      </c>
      <c r="E15" s="402">
        <f>IF(ISNUMBER(IF(D_I="SI",Datos!J15,Datos!J15+Datos!AD15)),IF(D_I="SI",Datos!J15,Datos!J15+Datos!AD15)," - ")</f>
        <v>1107</v>
      </c>
      <c r="F15" s="403">
        <f>IF(ISNUMBER(E15/B15),E15/B15," - ")</f>
        <v>369</v>
      </c>
      <c r="G15" s="402">
        <f>IF(ISNUMBER(IF(D_I="SI",Datos!K15,Datos!K15+Datos!AE15)),IF(D_I="SI",Datos!K15,Datos!K15+Datos!AE15)," - ")</f>
        <v>983</v>
      </c>
      <c r="H15" s="403">
        <f>IF(ISNUMBER(G15/B15),G15/B15," - ")</f>
        <v>327.66666666666669</v>
      </c>
      <c r="I15" s="402">
        <f>IF(ISNUMBER(IF(D_I="SI",Datos!L15,Datos!L15+Datos!AF15)),IF(D_I="SI",Datos!L15,Datos!L15+Datos!AF15)," - ")</f>
        <v>2350</v>
      </c>
      <c r="J15" s="403">
        <f>IF(ISNUMBER(I15/B15),I15/B15," - ")</f>
        <v>783.33333333333337</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229</v>
      </c>
      <c r="D17" s="403">
        <f>IF(ISNUMBER(C17/Datos!BH17),C17/Datos!BH17," - ")</f>
        <v>229</v>
      </c>
      <c r="E17" s="402">
        <f>IF(ISNUMBER(IF(D_I="SI",Datos!J17,Datos!J17+Datos!AD17)),IF(D_I="SI",Datos!J17,Datos!J17+Datos!AD17)," - ")</f>
        <v>198</v>
      </c>
      <c r="F17" s="403">
        <f>IF(ISNUMBER(E17/B17),E17/B17," - ")</f>
        <v>198</v>
      </c>
      <c r="G17" s="402">
        <f>IF(ISNUMBER(IF(D_I="SI",Datos!K17,Datos!K17+Datos!AE17)),IF(D_I="SI",Datos!K17,Datos!K17+Datos!AE17)," - ")</f>
        <v>166</v>
      </c>
      <c r="H17" s="403">
        <f>IF(ISNUMBER(G17/B17),G17/B17," - ")</f>
        <v>166</v>
      </c>
      <c r="I17" s="402">
        <f>IF(ISNUMBER(IF(D_I="SI",Datos!L17,Datos!L17+Datos!AF17)),IF(D_I="SI",Datos!L17,Datos!L17+Datos!AF17)," - ")</f>
        <v>261</v>
      </c>
      <c r="J17" s="403">
        <f>IF(ISNUMBER(I17/B17),I17/B17," - ")</f>
        <v>261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2437</v>
      </c>
      <c r="D18" s="849" t="str">
        <f>IF(ISNUMBER(C18/Datos!BI18),C18/Datos!BI18," - ")</f>
        <v xml:space="preserve"> - </v>
      </c>
      <c r="E18" s="848">
        <f>SUBTOTAL(9,E14:E17)</f>
        <v>1305</v>
      </c>
      <c r="F18" s="849">
        <f>IF(ISNUMBER(E18/B18),E18/B18," - ")</f>
        <v>435</v>
      </c>
      <c r="G18" s="848">
        <f>SUBTOTAL(9,G14:G17)</f>
        <v>1149</v>
      </c>
      <c r="H18" s="849">
        <f>IF(ISNUMBER(G18/B18),G18/B18," - ")</f>
        <v>383</v>
      </c>
      <c r="I18" s="848">
        <f>SUBTOTAL(9,I14:I17)</f>
        <v>2611</v>
      </c>
      <c r="J18" s="849">
        <f>IF(ISNUMBER(I18/B18),I18/B18," - ")</f>
        <v>870.33333333333337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7473</v>
      </c>
      <c r="D19" s="794" t="str">
        <f>IF(ISNUMBER(C19/Datos!BI19),C19/Datos!BI19," - ")</f>
        <v xml:space="preserve"> - </v>
      </c>
      <c r="E19" s="793">
        <f>SUBTOTAL(9,E9:E18)</f>
        <v>2671</v>
      </c>
      <c r="F19" s="794">
        <f>IF(ISNUMBER(E19/B19),E19/B19," - ")</f>
        <v>296.77777777777777</v>
      </c>
      <c r="G19" s="793">
        <f>SUBTOTAL(9,G9:G18)</f>
        <v>3298</v>
      </c>
      <c r="H19" s="794">
        <f>IF(ISNUMBER(G19/B19),G19/B19," - ")</f>
        <v>366.44444444444446</v>
      </c>
      <c r="I19" s="793">
        <f>SUBTOTAL(9,I9:I18)</f>
        <v>7186</v>
      </c>
      <c r="J19" s="794">
        <f>IF(ISNUMBER(I19/B19),I19/B19," - ")</f>
        <v>798.44444444444446</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i3v1KuCy830dIqoramffIR2KzfIPsxpqaO4dO40y+dMkTXQEIK6htrQlgcfkeUp8l6Eb41l5Q9rCgZOnt6BbKQ==" saltValue="HLlM4yrpCjqsvrmKd5qLp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FERROL</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3 al 3</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5</v>
      </c>
      <c r="B9" s="500" t="s">
        <v>242</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0</v>
      </c>
      <c r="F10" s="682">
        <f>IF(ISNUMBER(Datos!L10+Datos!K10-Datos!J10),Datos!L10+Datos!K10-Datos!J10," - ")</f>
        <v>148</v>
      </c>
      <c r="G10" s="683">
        <f>IF(ISNUMBER(Datos!I10),Datos!I10," - ")</f>
        <v>148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153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51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1</v>
      </c>
      <c r="B11" s="506" t="s">
        <v>242</v>
      </c>
      <c r="C11" s="7" t="str">
        <f>Datos!A11</f>
        <v xml:space="preserve">Jdos. Familia                                   </v>
      </c>
      <c r="D11" s="507"/>
      <c r="E11" s="681">
        <f>IF(ISNUMBER(Datos!AQ11),Datos!AQ11," - ")</f>
        <v>1</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105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-9.433962264150943E-3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148</v>
      </c>
      <c r="G13" s="937">
        <f t="shared" si="0"/>
        <v>148</v>
      </c>
      <c r="H13" s="937">
        <f t="shared" si="0"/>
        <v>0</v>
      </c>
      <c r="I13" s="939">
        <f t="shared" si="0"/>
        <v>0</v>
      </c>
      <c r="J13" s="938">
        <f t="shared" si="0"/>
        <v>0</v>
      </c>
      <c r="K13" s="938">
        <f t="shared" si="0"/>
        <v>0</v>
      </c>
      <c r="L13" s="940">
        <f t="shared" si="0"/>
        <v>0</v>
      </c>
      <c r="M13" s="940">
        <f t="shared" si="0"/>
        <v>0</v>
      </c>
      <c r="N13" s="938">
        <f t="shared" si="0"/>
        <v>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v>
      </c>
      <c r="AE13" s="938">
        <f t="shared" si="1"/>
        <v>0</v>
      </c>
      <c r="AF13" s="938">
        <f t="shared" si="1"/>
        <v>153</v>
      </c>
      <c r="AG13" s="938">
        <f t="shared" si="1"/>
        <v>0</v>
      </c>
      <c r="AH13" s="938">
        <f t="shared" si="1"/>
        <v>105</v>
      </c>
      <c r="AI13" s="938">
        <f t="shared" si="1"/>
        <v>0</v>
      </c>
      <c r="AJ13" s="938">
        <f t="shared" si="1"/>
        <v>0</v>
      </c>
      <c r="AK13" s="938">
        <f t="shared" si="1"/>
        <v>0</v>
      </c>
      <c r="AL13" s="938">
        <f t="shared" si="1"/>
        <v>1</v>
      </c>
      <c r="AM13" s="938">
        <f t="shared" si="1"/>
        <v>1</v>
      </c>
      <c r="AN13" s="938">
        <f t="shared" si="1"/>
        <v>0</v>
      </c>
      <c r="AO13" s="938">
        <f t="shared" si="1"/>
        <v>0</v>
      </c>
      <c r="AP13" s="943">
        <f>IF(ISNUMBER(((Datos!L13/Datos!K13)*11)/factor_trimestre),((Datos!L13/Datos!K13)*11)/factor_trimestre," - ")</f>
        <v>4.5941018766756034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-4.0540540540540543E-2</v>
      </c>
      <c r="AU13" s="938" t="str">
        <f>IF(ISNUMBER((DatosP!#REF!-DatosP!#REF!+DatosP!#REF!)/(DatosP!#REF!+DatosP!#REF!-DatosP!#REF!-DatosP!#REF!)),(DatosP!#REF!-DatosP!#REF!+DatosP!#REF!)/(DatosP!#REF!+DatosP!#REF!-DatosP!#REF!-DatosP!#REF!)," - ")</f>
        <v xml:space="preserve"> - </v>
      </c>
      <c r="AV13" s="944">
        <f>SUBTOTAL(9,AV9:AV12)</f>
        <v>-9.433962264150943E-3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4.5448215839860753</v>
      </c>
      <c r="AQ18" s="943">
        <f>IF(ISNUMBER(((Datos!M18/Datos!L18)*11)/factor_trimestre),((Datos!M18/Datos!L18)*11)/factor_trimestre," - ")</f>
        <v>0.14324013787820758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7.5539568345323743E-2</v>
      </c>
      <c r="AW18" s="945">
        <f>IF(ISNUMBER((Datos!Q18-Datos!R18)/(Datos!S18-Datos!Q18+Datos!R18)),(Datos!Q18-Datos!R18)/(Datos!S18-Datos!Q18+Datos!R18)," - ")</f>
        <v>-8.7342204025929723E-2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148</v>
      </c>
      <c r="G19" s="950">
        <f t="shared" si="4"/>
        <v>148</v>
      </c>
      <c r="H19" s="950">
        <f t="shared" si="4"/>
        <v>0</v>
      </c>
      <c r="I19" s="951">
        <f t="shared" si="4"/>
        <v>0</v>
      </c>
      <c r="J19" s="952">
        <f t="shared" si="4"/>
        <v>0</v>
      </c>
      <c r="K19" s="952">
        <f t="shared" si="4"/>
        <v>0</v>
      </c>
      <c r="L19" s="952">
        <f t="shared" si="4"/>
        <v>0</v>
      </c>
      <c r="M19" s="952">
        <f t="shared" si="4"/>
        <v>0</v>
      </c>
      <c r="N19" s="951">
        <f t="shared" si="4"/>
        <v>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v>
      </c>
      <c r="AE19" s="956">
        <f t="shared" si="5"/>
        <v>0</v>
      </c>
      <c r="AF19" s="957">
        <f t="shared" si="5"/>
        <v>153</v>
      </c>
      <c r="AG19" s="957">
        <f t="shared" si="5"/>
        <v>0</v>
      </c>
      <c r="AH19" s="957">
        <f t="shared" si="5"/>
        <v>105</v>
      </c>
      <c r="AI19" s="957">
        <f t="shared" si="5"/>
        <v>0</v>
      </c>
      <c r="AJ19" s="958">
        <f t="shared" si="5"/>
        <v>0</v>
      </c>
      <c r="AK19" s="958">
        <f t="shared" si="5"/>
        <v>0</v>
      </c>
      <c r="AL19" s="950">
        <f t="shared" si="5"/>
        <v>1</v>
      </c>
      <c r="AM19" s="950">
        <f t="shared" si="5"/>
        <v>1</v>
      </c>
      <c r="AN19" s="950">
        <f t="shared" si="5"/>
        <v>0</v>
      </c>
      <c r="AO19" s="950">
        <f t="shared" si="5"/>
        <v>0</v>
      </c>
      <c r="AP19" s="950">
        <f>IF(ISNUMBER(((Datos!L19/Datos!K19)*11)/factor_trimestre),((Datos!L19/Datos!K19)*11)/factor_trimestre," - ")</f>
        <v>4.5753151957531522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-4.0540540540540543E-2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3.8170645237532497E-2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98.666666666666671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2.7568097504180442</v>
      </c>
      <c r="F21" s="735">
        <f>IF(ISNUMBER(STDEV(F8:F18)),STDEV(F8:F18),"-")</f>
        <v>85.447839840064617</v>
      </c>
      <c r="G21" s="736">
        <f>IF(ISNUMBER(STDEV(G8:G18)),STDEV(G8:G18),"-")</f>
        <v>85.447839840064617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0.57735026918962573</v>
      </c>
      <c r="AM21" s="735"/>
      <c r="AN21" s="735">
        <f>IF(ISNUMBER(STDEV(AN8:AN18)),STDEV(AN8:AN18),"-")</f>
        <v>0</v>
      </c>
      <c r="AO21" s="741">
        <f>IF(ISNUMBER(STDEV(AO8:AO18)),STDEV(AO8:AO18),"-")</f>
        <v>0</v>
      </c>
      <c r="AP21" s="778">
        <f>IF(ISNUMBER(STDEV(AP8:AP18)),STDEV(AP8:AP18),"-")</f>
        <v>26.806695092965416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QtBLd9y36tETct5iElGoYhVHMjs1MrtofhYeD13uubB/lWFg+K6IqrVHx4D0YF1XhaYViKLJ/+yeiO1e79p1w==" saltValue="ynMp0hhScvu4qlxYLNXY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214</v>
      </c>
      <c r="B3" s="390" t="str">
        <f>Criterios!A10 &amp;"  "&amp;Criterios!B10</f>
        <v>Provincias  A CORUÑA</v>
      </c>
      <c r="C3" s="414"/>
      <c r="F3" s="374"/>
      <c r="G3" s="374"/>
      <c r="H3" s="374"/>
    </row>
    <row r="4" spans="1:15" ht="13.5" thickBot="1">
      <c r="A4" s="374"/>
      <c r="B4" s="390" t="str">
        <f>Criterios!A11 &amp;"  "&amp;Criterios!B11</f>
        <v>Resumenes por Partidos Judiciales  FERROL</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1</v>
      </c>
      <c r="D11" s="402">
        <f>Datos!BK11</f>
        <v>0</v>
      </c>
      <c r="E11" s="402">
        <f>Datos!AQ11</f>
        <v>1</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ujdQ5d1o7NW2Q+F1ENUjUZWi0WYMGc7EyKnrD4Zh7jjhYqgTa6LRf3n4qPAi4RMjV8KQIPCrvnZY4mjanq2Mbg==" saltValue="WXgsaao56NUgo877Xpu7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FERROL</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5</v>
      </c>
      <c r="C9" s="409">
        <f>Datos!AQ9</f>
        <v>5</v>
      </c>
      <c r="D9" s="402">
        <f>IF(ISNUMBER(Datos!M9),Datos!M9," - ")</f>
        <v>459</v>
      </c>
      <c r="E9" s="403">
        <f t="shared" ref="E9:E13" si="0">IF(ISNUMBER(D9/B9),D9/B9," - ")</f>
        <v>91.8</v>
      </c>
      <c r="F9" s="402">
        <f>IF(ISNUMBER(Datos!N9),Datos!N9," - ")</f>
        <v>690</v>
      </c>
      <c r="G9" s="403">
        <f t="shared" ref="G9:G13" si="1">IF(ISNUMBER(F9/B9),F9/B9," - ")</f>
        <v>138</v>
      </c>
      <c r="H9" s="402">
        <f>IF(ISNUMBER(Datos!O9),Datos!O9," - ")</f>
        <v>851</v>
      </c>
      <c r="I9" s="403">
        <f>IF(ISNUMBER(H9/B9),H9/B9," - ")</f>
        <v>170.2</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1</v>
      </c>
      <c r="C11" s="409">
        <f>Datos!AQ11</f>
        <v>1</v>
      </c>
      <c r="D11" s="402">
        <f>IF(ISNUMBER(Datos!M11),Datos!M11," - ")</f>
        <v>62</v>
      </c>
      <c r="E11" s="403">
        <f t="shared" si="0"/>
        <v>62</v>
      </c>
      <c r="F11" s="402">
        <f>IF(ISNUMBER(Datos!N11),Datos!N11," - ")</f>
        <v>131</v>
      </c>
      <c r="G11" s="403">
        <f t="shared" si="1"/>
        <v>131</v>
      </c>
      <c r="H11" s="402">
        <f>IF(ISNUMBER(Datos!O11),Datos!O11," - ")</f>
        <v>86</v>
      </c>
      <c r="I11" s="403">
        <f t="shared" si="2"/>
        <v>86</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0</v>
      </c>
      <c r="I12" s="403" t="str">
        <f t="shared" si="2"/>
        <v xml:space="preserve"> - </v>
      </c>
      <c r="BZ12" s="1185">
        <f>Datos!EZ12</f>
        <v>0</v>
      </c>
    </row>
    <row r="13" spans="1:78" ht="14.25" thickTop="1" thickBot="1">
      <c r="A13" s="847" t="str">
        <f>Datos!A13</f>
        <v>TOTAL</v>
      </c>
      <c r="B13" s="848">
        <f>Datos!AP13</f>
        <v>6</v>
      </c>
      <c r="C13" s="850">
        <f>Datos!AR13</f>
        <v>6</v>
      </c>
      <c r="D13" s="848">
        <f>SUBTOTAL(9,D9:D12)</f>
        <v>522</v>
      </c>
      <c r="E13" s="849">
        <f t="shared" si="0"/>
        <v>87</v>
      </c>
      <c r="F13" s="848">
        <f>SUBTOTAL(9,F9:F12)</f>
        <v>822</v>
      </c>
      <c r="G13" s="849">
        <f t="shared" si="1"/>
        <v>137</v>
      </c>
      <c r="H13" s="848">
        <f>SUBTOTAL(9,H9:H12)</f>
        <v>937</v>
      </c>
      <c r="I13" s="849">
        <f>IF(ISNUMBER(H13/B13),H13/B13," - ")</f>
        <v>156.16666666666666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160</v>
      </c>
      <c r="E15" s="403">
        <f t="shared" ref="E15:E18" si="3">IF(ISNUMBER(D15/B15),D15/B15," - ")</f>
        <v>53.333333333333336</v>
      </c>
      <c r="F15" s="402">
        <f>IF(ISNUMBER(Datos!N15),Datos!N15," - ")</f>
        <v>498</v>
      </c>
      <c r="G15" s="403">
        <f t="shared" ref="G15:G18" si="4">IF(ISNUMBER(F15/B15),F15/B15," - ")</f>
        <v>166</v>
      </c>
      <c r="H15" s="402">
        <f>IF(ISNUMBER(Datos!O15),Datos!O15," - ")</f>
        <v>18</v>
      </c>
      <c r="I15" s="403">
        <f t="shared" ref="I15:I17" si="5">IF(ISNUMBER(H15/B15),H15/B15," - ")</f>
        <v>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45</v>
      </c>
      <c r="G17" s="403">
        <f>IF(ISNUMBER(F17/B17),F17/B17," - ")</f>
        <v>45</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187</v>
      </c>
      <c r="E18" s="849">
        <f t="shared" si="3"/>
        <v>62.333333333333336</v>
      </c>
      <c r="F18" s="848">
        <f>SUBTOTAL(9,F15:F17)</f>
        <v>543</v>
      </c>
      <c r="G18" s="849">
        <f t="shared" si="4"/>
        <v>181</v>
      </c>
      <c r="H18" s="848">
        <f>SUBTOTAL(9,H15:H17)</f>
        <v>18</v>
      </c>
      <c r="I18" s="849">
        <f>IF(ISNUMBER(H18/B18),H18/B18," - ")</f>
        <v>6</v>
      </c>
      <c r="BZ18" s="1185"/>
    </row>
    <row r="19" spans="1:78" ht="14.25" thickTop="1" thickBot="1">
      <c r="A19" s="792" t="str">
        <f>Datos!A19</f>
        <v>TOTAL JURISDICCIONES</v>
      </c>
      <c r="B19" s="793">
        <f>Datos!AP19</f>
        <v>9</v>
      </c>
      <c r="C19" s="793">
        <f>Datos!AR19</f>
        <v>9</v>
      </c>
      <c r="D19" s="793">
        <f>SUBTOTAL(9,D8:D18)</f>
        <v>709</v>
      </c>
      <c r="E19" s="794">
        <f>IF(ISNUMBER(D19/B19),D19/B19," - ")</f>
        <v>78.777777777777771</v>
      </c>
      <c r="F19" s="793">
        <f>SUBTOTAL(9,F8:F18)</f>
        <v>1365</v>
      </c>
      <c r="G19" s="794">
        <f>IF(ISNUMBER(F19/B19),F19/B19," - ")</f>
        <v>151.66666666666666</v>
      </c>
      <c r="H19" s="793">
        <f>SUBTOTAL(9,H8:H18)</f>
        <v>955</v>
      </c>
      <c r="I19" s="794">
        <f>IF(ISNUMBER(H19/B19),H19/B19," - ")</f>
        <v>106.11111111111111</v>
      </c>
    </row>
    <row r="22" spans="1:78">
      <c r="A22" s="390" t="str">
        <f>Criterios!A4</f>
        <v>Fecha Informe: 09 dic. 2025</v>
      </c>
    </row>
    <row r="27" spans="1:78">
      <c r="A27" s="413"/>
    </row>
  </sheetData>
  <sheetProtection algorithmName="SHA-512" hashValue="0DWKxAv4h4Ofmc9FJvPPdGMpADcRgbpbR7+2OXCPLG1cYQglFUmo7u07RadR3ohqs/SkVLhKo4kQZXOqP46VCQ==" saltValue="RGPdp+0nkXqfc1m1uobh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FERROL</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616</v>
      </c>
      <c r="C9" s="433">
        <f>IF(ISNUMBER(Datos!Q9),Datos!Q9," - ")</f>
        <v>330</v>
      </c>
      <c r="D9" s="407">
        <f>IF(ISNUMBER(Datos!R9),Datos!R9," - ")</f>
        <v>8112</v>
      </c>
    </row>
    <row r="10" spans="1:4">
      <c r="A10" s="401" t="str">
        <f>Datos!A10</f>
        <v>Jdos. Violencia contra la mujer/Secc Viol. TI.</v>
      </c>
      <c r="B10" s="432">
        <f>IF(ISNUMBER(Datos!P10),Datos!P10," - ")</f>
        <v>5</v>
      </c>
      <c r="C10" s="433">
        <f>IF(ISNUMBER(Datos!Q10),Datos!Q10," - ")</f>
        <v>0</v>
      </c>
      <c r="D10" s="407">
        <f>IF(ISNUMBER(Datos!R10),Datos!R10," - ")</f>
        <v>98</v>
      </c>
    </row>
    <row r="11" spans="1:4">
      <c r="A11" s="401" t="str">
        <f>Datos!A11</f>
        <v xml:space="preserve">Jdos. Familia                                   </v>
      </c>
      <c r="B11" s="432">
        <f>IF(ISNUMBER(Datos!P11),Datos!P11," - ")</f>
        <v>21</v>
      </c>
      <c r="C11" s="433">
        <f>IF(ISNUMBER(Datos!Q11),Datos!Q11," - ")</f>
        <v>9</v>
      </c>
      <c r="D11" s="407">
        <f>IF(ISNUMBER(Datos!R11),Datos!R11," - ")</f>
        <v>171</v>
      </c>
    </row>
    <row r="12" spans="1:4" ht="13.5" thickBot="1">
      <c r="A12" s="401" t="str">
        <f>Datos!A12</f>
        <v xml:space="preserve">Jdos. 1ª Instª. e Instr./Secc. Civil y de Inst. TI                      </v>
      </c>
      <c r="B12" s="432">
        <f>IF(ISNUMBER(Datos!P12),Datos!P12," - ")</f>
        <v>0</v>
      </c>
      <c r="C12" s="433">
        <f>IF(ISNUMBER(Datos!Q12),Datos!Q12," - ")</f>
        <v>1</v>
      </c>
      <c r="D12" s="407">
        <f>IF(ISNUMBER(Datos!R12),Datos!R12," - ")</f>
        <v>105</v>
      </c>
    </row>
    <row r="13" spans="1:4" ht="14.25" thickTop="1" thickBot="1">
      <c r="A13" s="847" t="str">
        <f>Datos!A13</f>
        <v>TOTAL</v>
      </c>
      <c r="B13" s="848">
        <f>SUBTOTAL(9,B9:B12)</f>
        <v>642</v>
      </c>
      <c r="C13" s="852">
        <f>SUBTOTAL(9,C9:C12)</f>
        <v>340</v>
      </c>
      <c r="D13" s="850">
        <f>SUBTOTAL(9,D9:D12)</f>
        <v>8486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59</v>
      </c>
      <c r="C15" s="433">
        <f>IF(ISNUMBER(Datos!Q15),Datos!Q15," - ")</f>
        <v>43</v>
      </c>
      <c r="D15" s="407">
        <f>IF(ISNUMBER(Datos!R15),Datos!R15," - ")</f>
        <v>292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0</v>
      </c>
      <c r="D17" s="407">
        <f>IF(ISNUMBER(Datos!R17),Datos!R17," - ")</f>
        <v>7</v>
      </c>
    </row>
    <row r="18" spans="1:4" ht="14.25" thickTop="1" thickBot="1">
      <c r="A18" s="847" t="str">
        <f>Datos!A18</f>
        <v>TOTAL</v>
      </c>
      <c r="B18" s="848">
        <f>SUBTOTAL(9,B15:B17)</f>
        <v>64</v>
      </c>
      <c r="C18" s="852">
        <f>SUBTOTAL(9,C15:C17)</f>
        <v>43</v>
      </c>
      <c r="D18" s="850">
        <f>SUBTOTAL(9,D15:D17)</f>
        <v>299</v>
      </c>
    </row>
    <row r="19" spans="1:4" ht="16.5" customHeight="1" thickTop="1" thickBot="1">
      <c r="A19" s="792" t="str">
        <f>Datos!A19</f>
        <v>TOTAL JURISDICCIONES</v>
      </c>
      <c r="B19" s="797">
        <f>SUBTOTAL(9,B8:B18)</f>
        <v>706</v>
      </c>
      <c r="C19" s="798">
        <f>SUBTOTAL(9,C8:C18)</f>
        <v>383</v>
      </c>
      <c r="D19" s="799">
        <f>SUBTOTAL(9,D8:D18)</f>
        <v>8785</v>
      </c>
    </row>
    <row r="20" spans="1:4" ht="7.5" customHeight="1"/>
    <row r="21" spans="1:4" ht="6" customHeight="1"/>
    <row r="22" spans="1:4">
      <c r="A22" s="390" t="str">
        <f>Criterios!A4</f>
        <v>Fecha Informe: 09 dic. 2025</v>
      </c>
    </row>
    <row r="27" spans="1:4">
      <c r="A27" s="413"/>
    </row>
  </sheetData>
  <sheetProtection algorithmName="SHA-512" hashValue="pQRPHd+l4uRWCT3wb+/JVUlsEZeqpOIiLRXLOvDAD9GNFRAHzpLTbYmpLNjU/FfO3rj3Se2FIHABja+FO+4vSg==" saltValue="RMx4/Stom1tvgwg/5eDa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FERROL</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0.2056980056980057</v>
      </c>
      <c r="C9" s="455">
        <f>IF(ISNUMBER(
   IF(J_V="SI",(Datos!J9-Datos!T9)/Datos!T9,(Datos!J9+Datos!Z9-(Datos!T9+Datos!AH9))/(Datos!T9+Datos!AH9))
     ),IF(J_V="SI",(Datos!J9-Datos!T9)/Datos!T9,(Datos!J9+Datos!Z9-(Datos!T9+Datos!AH9))/(Datos!T9+Datos!AH9))," - ")</f>
        <v>-0.41176470588235292</v>
      </c>
      <c r="D9" s="455">
        <f>IF(ISNUMBER(
   IF(J_V="SI",(Datos!K9-Datos!U9)/Datos!U9,(Datos!K9+Datos!AA9-(Datos!U9+Datos!AI9))/(Datos!U9+Datos!AI9))
     ),IF(J_V="SI",(Datos!K9-Datos!U9)/Datos!U9,(Datos!K9+Datos!AA9-(Datos!U9+Datos!AI9))/(Datos!U9+Datos!AI9))," - ")</f>
        <v>0.19245524296675193</v>
      </c>
      <c r="E9" s="455">
        <f>IF(ISNUMBER(
   IF(J_V="SI",(Datos!L9-Datos!V9)/Datos!V9,(Datos!L9+Datos!AB9-(Datos!V9+Datos!AJ9))/(Datos!V9+Datos!AJ9))
     ),IF(J_V="SI",(Datos!L9-Datos!V9)/Datos!V9,(Datos!L9+Datos!AB9-(Datos!V9+Datos!AJ9))/(Datos!V9+Datos!AJ9))," - ")</f>
        <v>-3.1737635546151811E-3</v>
      </c>
      <c r="F9" s="455">
        <f>IF(ISNUMBER((Datos!M9-Datos!W9)/Datos!W9),(Datos!M9-Datos!W9)/Datos!W9," - ")</f>
        <v>-8.74751491053678E-2</v>
      </c>
      <c r="G9" s="456">
        <f>IF(ISNUMBER((Datos!N9-Datos!X9)/Datos!X9),(Datos!N9-Datos!X9)/Datos!X9," - ")</f>
        <v>0.45877378435517968</v>
      </c>
      <c r="H9" s="454">
        <f>IF(ISNUMBER(((NºAsuntos!G9/NºAsuntos!E9)-Datos!BD9)/Datos!BD9),((NºAsuntos!G9/NºAsuntos!E9)-Datos!BD9)/Datos!BD9," - ")</f>
        <v>1.0271739130434783</v>
      </c>
      <c r="I9" s="455">
        <f>IF(ISNUMBER(((NºAsuntos!I9/NºAsuntos!G9)-Datos!BE9)/Datos!BE9),((NºAsuntos!I9/NºAsuntos!G9)-Datos!BE9)/Datos!BE9," - ")</f>
        <v>-0.16405563871282461</v>
      </c>
      <c r="J9" s="460">
        <f>IF(ISNUMBER((('Resol  Asuntos'!D9/NºAsuntos!G9)-Datos!BF9)/Datos!BF9),(('Resol  Asuntos'!D9/NºAsuntos!G9)-Datos!BF9)/Datos!BF9," - ")</f>
        <v>-0.18621541810019901</v>
      </c>
      <c r="K9" s="461">
        <f>IF(ISNUMBER((((NºAsuntos!C9+NºAsuntos!E9)/NºAsuntos!G9)-Datos!BG9)/Datos!BG9),(((NºAsuntos!C9+NºAsuntos!E9)/NºAsuntos!G9)-Datos!BG9)/Datos!BG9," - ")</f>
        <v>-0.16672754754375252</v>
      </c>
    </row>
    <row r="10" spans="1:11" ht="21">
      <c r="A10" s="401" t="str">
        <f>Datos!A10</f>
        <v>Jdos. Violencia contra la mujer/Secc Viol. TI.</v>
      </c>
      <c r="B10" s="454">
        <f>IF(ISNUMBER((Datos!I10-Datos!S10)/Datos!S10),(Datos!I10-Datos!S10)/Datos!S10," - ")</f>
        <v>0</v>
      </c>
      <c r="C10" s="455">
        <f>IF(ISNUMBER((Datos!J10-Datos!T10)/Datos!T10),(Datos!J10-Datos!T10)/Datos!T10," - ")</f>
        <v>-0.21428571428571427</v>
      </c>
      <c r="D10" s="455">
        <f>IF(ISNUMBER((Datos!K10-Datos!U10)/Datos!U10),(Datos!K10-Datos!U10)/Datos!U10," - ")</f>
        <v>-0.68421052631578949</v>
      </c>
      <c r="E10" s="455">
        <f>IF(ISNUMBER((Datos!L10-Datos!V10)/Datos!V10),(Datos!L10-Datos!V10)/Datos!V10," - ")</f>
        <v>6.9930069930069935E-2</v>
      </c>
      <c r="F10" s="455">
        <f>IF(ISNUMBER((Datos!M10-Datos!W10)/Datos!W10),(Datos!M10-Datos!W10)/Datos!W10," - ")</f>
        <v>-0.75</v>
      </c>
      <c r="G10" s="456">
        <f>IF(ISNUMBER((Datos!N10-Datos!X10)/Datos!X10),(Datos!N10-Datos!X10)/Datos!X10," - ")</f>
        <v>0</v>
      </c>
      <c r="H10" s="454">
        <f>IF(ISNUMBER(((NºAsuntos!G10/NºAsuntos!E10)-Datos!BD10)/Datos!BD10),((NºAsuntos!G10/NºAsuntos!E10)-Datos!BD10)/Datos!BD10," - ")</f>
        <v>-0.59808612440191389</v>
      </c>
      <c r="I10" s="455">
        <f>IF(ISNUMBER(((NºAsuntos!I10/NºAsuntos!G10)-Datos!BE10)/Datos!BE10),((NºAsuntos!I10/NºAsuntos!G10)-Datos!BE10)/Datos!BE10," - ")</f>
        <v>2.3881118881118879</v>
      </c>
      <c r="J10" s="460">
        <f>IF(ISNUMBER((('Resol  Asuntos'!D10/NºAsuntos!G10)-Datos!BF10)/Datos!BF10),(('Resol  Asuntos'!D10/NºAsuntos!G10)-Datos!BF10)/Datos!BF10," - ")</f>
        <v>-0.20833333333333334</v>
      </c>
      <c r="K10" s="461">
        <f>IF(ISNUMBER((((NºAsuntos!C10+NºAsuntos!E10)/NºAsuntos!G10)-Datos!BG10)/Datos!BG10),(((NºAsuntos!C10+NºAsuntos!E10)/NºAsuntos!G10)-Datos!BG10)/Datos!BG10," - ")</f>
        <v>2.1080246913580245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0.12835249042145594</v>
      </c>
      <c r="C11" s="455">
        <f>IF(ISNUMBER(
   IF(J_V="SI",(Datos!J11-Datos!T11)/Datos!T11,(Datos!J11+Datos!Z11-(Datos!T11+Datos!AH11))/(Datos!T11+Datos!AH11))
     ),IF(J_V="SI",(Datos!J11-Datos!T11)/Datos!T11,(Datos!J11+Datos!Z11-(Datos!T11+Datos!AH11))/(Datos!T11+Datos!AH11))," - ")</f>
        <v>-6.7796610169491525E-2</v>
      </c>
      <c r="D11" s="455">
        <f>IF(ISNUMBER(
   IF(J_V="SI",(Datos!K11-Datos!U11)/Datos!U11,(Datos!K11+Datos!AA11-(Datos!U11+Datos!AI11))/(Datos!U11+Datos!AI11))
     ),IF(J_V="SI",(Datos!K11-Datos!U11)/Datos!U11,(Datos!K11+Datos!AA11-(Datos!U11+Datos!AI11))/(Datos!U11+Datos!AI11))," - ")</f>
        <v>7.246376811594203E-3</v>
      </c>
      <c r="E11" s="455">
        <f>IF(ISNUMBER(
   IF(J_V="SI",(Datos!L11-Datos!V11)/Datos!V11,(Datos!L11+Datos!AB11-(Datos!V11+Datos!AJ11))/(Datos!V11+Datos!AJ11))
     ),IF(J_V="SI",(Datos!L11-Datos!V11)/Datos!V11,(Datos!L11+Datos!AB11-(Datos!V11+Datos!AJ11))/(Datos!V11+Datos!AJ11))," - ")</f>
        <v>8.3179297597042512E-2</v>
      </c>
      <c r="F11" s="455">
        <f>IF(ISNUMBER((Datos!M11-Datos!W11)/Datos!W11),(Datos!M11-Datos!W11)/Datos!W11," - ")</f>
        <v>0.21568627450980393</v>
      </c>
      <c r="G11" s="456">
        <f>IF(ISNUMBER((Datos!N11-Datos!X11)/Datos!X11),(Datos!N11-Datos!X11)/Datos!X11," - ")</f>
        <v>4.8000000000000001E-2</v>
      </c>
      <c r="H11" s="454">
        <f>IF(ISNUMBER(((NºAsuntos!G11/NºAsuntos!E11)-Datos!BD11)/Datos!BD11),((NºAsuntos!G11/NºAsuntos!E11)-Datos!BD11)/Datos!BD11," - ")</f>
        <v>8.0500658761528385E-2</v>
      </c>
      <c r="I11" s="455">
        <f>IF(ISNUMBER(((NºAsuntos!I11/NºAsuntos!G11)-Datos!BE11)/Datos!BE11),((NºAsuntos!I11/NºAsuntos!G11)-Datos!BE11)/Datos!BE11," - ")</f>
        <v>7.538664077979769E-2</v>
      </c>
      <c r="J11" s="460">
        <f>IF(ISNUMBER((('Resol  Asuntos'!D11/NºAsuntos!G11)-Datos!BF11)/Datos!BF11),(('Resol  Asuntos'!D11/NºAsuntos!G11)-Datos!BF11)/Datos!BF11," - ")</f>
        <v>-0.50756834532374107</v>
      </c>
      <c r="K11" s="461">
        <f>IF(ISNUMBER((((NºAsuntos!C11+NºAsuntos!E11)/NºAsuntos!G11)-Datos!BG11)/Datos!BG11),(((NºAsuntos!C11+NºAsuntos!E11)/NºAsuntos!G11)-Datos!BG11)/Datos!BG11," - ")</f>
        <v>4.991942798270569E-2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-1.4705882352941176E-2</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-1.4705882352941176E-2</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0.18549905838041431</v>
      </c>
      <c r="C13" s="854">
        <f>IF(ISNUMBER(
   IF(J_V="SI",(Datos!J13-Datos!T13)/Datos!T13,(Datos!J13+Datos!Z13-(Datos!T13+Datos!AH13))/(Datos!T13+Datos!AH13))
     ),IF(J_V="SI",(Datos!J13-Datos!T13)/Datos!T13,(Datos!J13+Datos!Z13-(Datos!T13+Datos!AH13))/(Datos!T13+Datos!AH13))," - ")</f>
        <v>-0.36317016317016315</v>
      </c>
      <c r="D13" s="854">
        <f>IF(ISNUMBER(
   IF(J_V="SI",(Datos!K13-Datos!U13)/Datos!U13,(Datos!K13+Datos!AA13-(Datos!U13+Datos!AI13))/(Datos!U13+Datos!AI13))
     ),IF(J_V="SI",(Datos!K13-Datos!U13)/Datos!U13,(Datos!K13+Datos!AA13-(Datos!U13+Datos!AI13))/(Datos!U13+Datos!AI13))," - ")</f>
        <v>0.15599784830554062</v>
      </c>
      <c r="E13" s="854">
        <f>IF(ISNUMBER(
   IF(J_V="SI",(Datos!L13-Datos!V13)/Datos!V13,(Datos!L13+Datos!AB13-(Datos!V13+Datos!AJ13))/(Datos!V13+Datos!AJ13))
     ),IF(J_V="SI",(Datos!L13-Datos!V13)/Datos!V13,(Datos!L13+Datos!AB13-(Datos!V13+Datos!AJ13))/(Datos!V13+Datos!AJ13))," - ")</f>
        <v>9.2653871608206484E-3</v>
      </c>
      <c r="F13" s="855">
        <f>IF(ISNUMBER((Datos!M13-Datos!W13)/Datos!W13),(Datos!M13-Datos!W13)/Datos!W13," - ")</f>
        <v>-6.4516129032258063E-2</v>
      </c>
      <c r="G13" s="856">
        <f>IF(ISNUMBER((Datos!N13-Datos!X13)/Datos!X13),(Datos!N13-Datos!X13)/Datos!X13," - ")</f>
        <v>0.37228714524207013</v>
      </c>
      <c r="H13" s="856">
        <f>IF(ISNUMBER(((NºAsuntos!G13/NºAsuntos!E13)-Datos!BD13)/Datos!BD13),((NºAsuntos!G13/NºAsuntos!E13)-Datos!BD13)/Datos!BD13," - ")</f>
        <v>0.81523820250028156</v>
      </c>
      <c r="I13" s="856">
        <f>IF(ISNUMBER(((NºAsuntos!I13/NºAsuntos!G13)-Datos!BE13)/Datos!BE13),((NºAsuntos!I13/NºAsuntos!G13)-Datos!BE13)/Datos!BE13," - ")</f>
        <v>-0.12693143102281731</v>
      </c>
      <c r="J13" s="856">
        <f>IF(ISNUMBER((('Resol  Asuntos'!D13/NºAsuntos!G13)-Datos!BF13)/Datos!BF13),(('Resol  Asuntos'!D13/NºAsuntos!G13)-Datos!BF13)/Datos!BF13," - ")</f>
        <v>-0.24990376424791566</v>
      </c>
      <c r="K13" s="856">
        <f>IF(ISNUMBER((((NºAsuntos!C13+NºAsuntos!E13)/NºAsuntos!G13)-Datos!BG13)/Datos!BG13),(((NºAsuntos!C13+NºAsuntos!E13)/NºAsuntos!G13)-Datos!BG13)/Datos!BG13," - ")</f>
        <v>-0.13372867325149207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-0.11432009626955475</v>
      </c>
      <c r="C15" s="455">
        <f>IF(ISNUMBER(
   IF(D_I="SI",(Datos!J15-Datos!T15)/Datos!T15,(Datos!J15+Datos!AD15-(Datos!T15+Datos!AL15))/(Datos!T15+Datos!AL15))
     ),IF(D_I="SI",(Datos!J15-Datos!T15)/Datos!T15,(Datos!J15+Datos!AD15-(Datos!T15+Datos!AL15))/(Datos!T15+Datos!AL15))," - ")</f>
        <v>6.1361457334611694E-2</v>
      </c>
      <c r="D15" s="455">
        <f>IF(ISNUMBER(
   IF(D_I="SI",(Datos!K15-Datos!U15)/Datos!U15,(Datos!K15+Datos!AE15-(Datos!U15+Datos!AM15))/(Datos!U15+Datos!AM15))
     ),IF(D_I="SI",(Datos!K15-Datos!U15)/Datos!U15,(Datos!K15+Datos!AE15-(Datos!U15+Datos!AM15))/(Datos!U15+Datos!AM15))," - ")</f>
        <v>0.10325476992143659</v>
      </c>
      <c r="E15" s="455">
        <f>IF(ISNUMBER(
   IF(D_I="SI",(Datos!L15-Datos!V15)/Datos!V15,(Datos!L15+Datos!AF15-(Datos!V15+Datos!AN15))/(Datos!V15+Datos!AN15))
     ),IF(D_I="SI",(Datos!L15-Datos!V15)/Datos!V15,(Datos!L15+Datos!AF15-(Datos!V15+Datos!AN15))/(Datos!V15+Datos!AN15))," - ")</f>
        <v>-0.11886014248218972</v>
      </c>
      <c r="F15" s="455">
        <f>IF(ISNUMBER((Datos!M15-Datos!W15)/Datos!W15),(Datos!M15-Datos!W15)/Datos!W15," - ")</f>
        <v>1.2658227848101266E-2</v>
      </c>
      <c r="G15" s="456">
        <f>IF(ISNUMBER((Datos!N15-Datos!X15)/Datos!X15),(Datos!N15-Datos!X15)/Datos!X15," - ")</f>
        <v>7.3275862068965511E-2</v>
      </c>
      <c r="H15" s="454">
        <f>IF(ISNUMBER(((NºAsuntos!G15/NºAsuntos!E15)-Datos!BD15)/Datos!BD15),((NºAsuntos!G15/NºAsuntos!E15)-Datos!BD15)/Datos!BD15," - ")</f>
        <v>3.9471296321642604E-2</v>
      </c>
      <c r="I15" s="455">
        <f>IF(ISNUMBER(((NºAsuntos!I15/NºAsuntos!G15)-Datos!BE15)/Datos!BE15),((NºAsuntos!I15/NºAsuntos!G15)-Datos!BE15)/Datos!BE15," - ")</f>
        <v>-0.20132694501691864</v>
      </c>
      <c r="J15" s="460">
        <f>IF(ISNUMBER((('Resol  Asuntos'!D15/NºAsuntos!G15)-Datos!BF15)/Datos!BF15),(('Resol  Asuntos'!D15/NºAsuntos!G15)-Datos!BF15)/Datos!BF15," - ")</f>
        <v>-8.2117516772473767E-2</v>
      </c>
      <c r="K15" s="461">
        <f>IF(ISNUMBER((((NºAsuntos!C15+NºAsuntos!E15)/NºAsuntos!G15)-Datos!BG15)/Datos!BG15),(((NºAsuntos!C15+NºAsuntos!E15)/NºAsuntos!G15)-Datos!BG15)/Datos!BG15," - ")</f>
        <v>-0.15024160732451677</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0.25824175824175827</v>
      </c>
      <c r="C17" s="455">
        <f>IF(ISNUMBER(
   IF(D_I="SI",(Datos!J17-Datos!T17)/Datos!T17,(Datos!J17+Datos!AD17-(Datos!T17+Datos!AL17))/(Datos!T17+Datos!AL17))
     ),IF(D_I="SI",(Datos!J17-Datos!T17)/Datos!T17,(Datos!J17+Datos!AD17-(Datos!T17+Datos!AL17))/(Datos!T17+Datos!AL17))," - ")</f>
        <v>1.1758241758241759</v>
      </c>
      <c r="D17" s="455">
        <f>IF(ISNUMBER(
   IF(D_I="SI",(Datos!K17-Datos!U17)/Datos!U17,(Datos!K17+Datos!AE17-(Datos!U17+Datos!AM17))/(Datos!U17+Datos!AM17))
     ),IF(D_I="SI",(Datos!K17-Datos!U17)/Datos!U17,(Datos!K17+Datos!AE17-(Datos!U17+Datos!AM17))/(Datos!U17+Datos!AM17))," - ")</f>
        <v>1.024390243902439</v>
      </c>
      <c r="E17" s="455">
        <f>IF(ISNUMBER(
   IF(D_I="SI",(Datos!L17-Datos!V17)/Datos!V17,(Datos!L17+Datos!AF17-(Datos!V17+Datos!AN17))/(Datos!V17+Datos!AN17))
     ),IF(D_I="SI",(Datos!L17-Datos!V17)/Datos!V17,(Datos!L17+Datos!AF17-(Datos!V17+Datos!AN17))/(Datos!V17+Datos!AN17))," - ")</f>
        <v>0.36649214659685864</v>
      </c>
      <c r="F17" s="455">
        <f>IF(ISNUMBER((Datos!M17-Datos!W17)/Datos!W17),(Datos!M17-Datos!W17)/Datos!W17," - ")</f>
        <v>0.42105263157894735</v>
      </c>
      <c r="G17" s="456">
        <f>IF(ISNUMBER((Datos!N17-Datos!X17)/Datos!X17),(Datos!N17-Datos!X17)/Datos!X17," - ")</f>
        <v>0</v>
      </c>
      <c r="H17" s="454">
        <f>IF(ISNUMBER(((NºAsuntos!G17/NºAsuntos!E17)-Datos!BD17)/Datos!BD17),((NºAsuntos!G17/NºAsuntos!E17)-Datos!BD17)/Datos!BD17," - ")</f>
        <v>-6.9598423256959904E-2</v>
      </c>
      <c r="I17" s="455">
        <f>IF(ISNUMBER(((NºAsuntos!I17/NºAsuntos!G17)-Datos!BE17)/Datos!BE17),((NºAsuntos!I17/NºAsuntos!G17)-Datos!BE17)/Datos!BE17," - ")</f>
        <v>-0.32498580710275654</v>
      </c>
      <c r="J17" s="460">
        <f>IF(ISNUMBER((('Resol  Asuntos'!D17/NºAsuntos!G17)-Datos!BF17)/Datos!BF17),(('Resol  Asuntos'!D17/NºAsuntos!G17)-Datos!BF17)/Datos!BF17," - ")</f>
        <v>-0.2980342422320863</v>
      </c>
      <c r="K17" s="461">
        <f>IF(ISNUMBER((((NºAsuntos!C17+NºAsuntos!E17)/NºAsuntos!G17)-Datos!BG17)/Datos!BG17),(((NºAsuntos!C17+NºAsuntos!E17)/NºAsuntos!G17)-Datos!BG17)/Datos!BG17," - ")</f>
        <v>-0.22737102255174541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-8.8971962616822428E-2</v>
      </c>
      <c r="C18" s="854">
        <f>IF(ISNUMBER(
   IF(Criterios!B14="SI",(Datos!J18-Datos!T18)/Datos!T18,(Datos!J18+Datos!AD18-(Datos!T18+Datos!AL18))/(Datos!T18+Datos!AL18))
     ),IF(Criterios!B14="SI",(Datos!J18-Datos!T18)/Datos!T18,(Datos!J18+Datos!AD18-(Datos!T18+Datos!AL18))/(Datos!T18+Datos!AL18))," - ")</f>
        <v>0.15079365079365079</v>
      </c>
      <c r="D18" s="854">
        <f>IF(ISNUMBER(
   IF(Criterios!B14="SI",(Datos!K18-Datos!U18)/Datos!U18,(Datos!K18+Datos!AE18-(Datos!U18+Datos!AM18))/(Datos!U18+Datos!AM18))
     ),IF(Criterios!B14="SI",(Datos!K18-Datos!U18)/Datos!U18,(Datos!K18+Datos!AE18-(Datos!U18+Datos!AM18))/(Datos!U18+Datos!AM18))," - ")</f>
        <v>0.18088386433710174</v>
      </c>
      <c r="E18" s="854">
        <f>IF(ISNUMBER(
   IF(Criterios!B14="SI",(Datos!L18-Datos!V18)/Datos!V18,(Datos!L18+Datos!AF18-(Datos!V18+Datos!AN18))/(Datos!V18+Datos!AN18))
     ),IF(Criterios!B14="SI",(Datos!L18-Datos!V18)/Datos!V18,(Datos!L18+Datos!AF18-(Datos!V18+Datos!AN18))/(Datos!V18+Datos!AN18))," - ")</f>
        <v>-8.642407277816655E-2</v>
      </c>
      <c r="F18" s="855">
        <f>IF(ISNUMBER((Datos!M18-Datos!W18)/Datos!W18),(Datos!M18-Datos!W18)/Datos!W18," - ")</f>
        <v>5.6497175141242938E-2</v>
      </c>
      <c r="G18" s="856">
        <f>IF(ISNUMBER((Datos!N18-Datos!X18)/Datos!X18),(Datos!N18-Datos!X18)/Datos!X18," - ")</f>
        <v>6.6797642436149315E-2</v>
      </c>
      <c r="H18" s="856">
        <f>IF(ISNUMBER(((NºAsuntos!G18/NºAsuntos!E18)-Datos!BD18)/Datos!BD18),((NºAsuntos!G18/NºAsuntos!E18)-Datos!BD18)/Datos!BD18," - ")</f>
        <v>2.6147357975688311E-2</v>
      </c>
      <c r="I18" s="856">
        <f>IF(ISNUMBER(((NºAsuntos!I18/NºAsuntos!G18)-Datos!BE18)/Datos!BE18),((NºAsuntos!I18/NºAsuntos!G18)-Datos!BE18)/Datos!BE18," - ")</f>
        <v>-0.22636259600796865</v>
      </c>
      <c r="J18" s="856">
        <f>IF(ISNUMBER((('Resol  Asuntos'!D18/NºAsuntos!G18)-Datos!BF18)/Datos!BF18),(('Resol  Asuntos'!D18/NºAsuntos!G18)-Datos!BF18)/Datos!BF18," - ")</f>
        <v>-0.10533354968456972</v>
      </c>
      <c r="K18" s="856">
        <f>IF(ISNUMBER((((NºAsuntos!C18+NºAsuntos!E18)/NºAsuntos!G18)-Datos!BG18)/Datos!BG18),(((NºAsuntos!C18+NºAsuntos!E18)/NºAsuntos!G18)-Datos!BG18)/Datos!BG18," - ")</f>
        <v>-0.16807222873040609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7.9445327170301894E-2</v>
      </c>
      <c r="C19" s="801">
        <f>IF(ISNUMBER(
   IF(J_V="SI",(Datos!J19-Datos!T19)/Datos!T19,(Datos!J19+Datos!Z19-(Datos!T19+Datos!AH19))/(Datos!T19+Datos!AH19))
     ),IF(J_V="SI",(Datos!J19-Datos!T19)/Datos!T19,(Datos!J19+Datos!Z19-(Datos!T19+Datos!AH19))/(Datos!T19+Datos!AH19))," - ")</f>
        <v>-0.18542238487343701</v>
      </c>
      <c r="D19" s="801">
        <f>IF(ISNUMBER(
   IF(J_V="SI",(Datos!K19-Datos!U19)/Datos!U19,(Datos!K19+Datos!AA19-(Datos!U19+Datos!AI19))/(Datos!U19+Datos!AI19))
     ),IF(J_V="SI",(Datos!K19-Datos!U19)/Datos!U19,(Datos!K19+Datos!AA19-(Datos!U19+Datos!AI19))/(Datos!U19+Datos!AI19))," - ")</f>
        <v>0.16454802259887005</v>
      </c>
      <c r="E19" s="801">
        <f>IF(ISNUMBER(
   IF(J_V="SI",(Datos!L19-Datos!V19)/Datos!V19,(Datos!L19+Datos!AB19-(Datos!V19+Datos!AJ19))/(Datos!V19+Datos!AJ19))
     ),IF(J_V="SI",(Datos!L19-Datos!V19)/Datos!V19,(Datos!L19+Datos!AB19-(Datos!V19+Datos!AJ19))/(Datos!V19+Datos!AJ19))," - ")</f>
        <v>-2.7736436206196726E-2</v>
      </c>
      <c r="F19" s="802">
        <f>IF(ISNUMBER((Datos!M19-Datos!W19)/Datos!W19),(Datos!M19-Datos!W19)/Datos!W19," - ")</f>
        <v>-3.5374149659863949E-2</v>
      </c>
      <c r="G19" s="803">
        <f>IF(ISNUMBER((Datos!N19-Datos!X19)/Datos!X19),(Datos!N19-Datos!X19)/Datos!X19," - ")</f>
        <v>0.23194945848375451</v>
      </c>
      <c r="H19" s="804">
        <f>IF(ISNUMBER((Tasas!B19-Datos!BD19)/Datos!BD19),(Tasas!B19-Datos!BD19)/Datos!BD19," - ")</f>
        <v>0.42963420670224428</v>
      </c>
      <c r="I19" s="805">
        <f>IF(ISNUMBER((Tasas!C19-Datos!BE19)/Datos!BE19),(Tasas!C19-Datos!BE19)/Datos!BE19," - ")</f>
        <v>-0.16511509622072454</v>
      </c>
      <c r="J19" s="806">
        <f>IF(ISNUMBER((Tasas!D19-Datos!BF19)/Datos!BF19),(Tasas!D19-Datos!BF19)/Datos!BF19," - ")</f>
        <v>-0.21845970366760578</v>
      </c>
      <c r="K19" s="806">
        <f>IF(ISNUMBER((Tasas!E19-Datos!BG19)/Datos!BG19),(Tasas!E19-Datos!BG19)/Datos!BG19," - ")</f>
        <v>-0.14617961566888571</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HdCQ5eGSUk7qreZe5HrI8bQ/WyaKrd1wQsuwtsId/KZ070KEmXAI/J8QvU/4gqpZN4FtLyptLJzCAFJIO6TwA==" saltValue="CRE+BKYw0+YxxyWJ/as+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FERROL</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1.7268518518518519</v>
      </c>
      <c r="C9" s="442">
        <f>IF(ISNUMBER(NºAsuntos!I9/NºAsuntos!G9),NºAsuntos!I9/NºAsuntos!G9," - ")</f>
        <v>2.0209115281501342</v>
      </c>
      <c r="D9" s="443">
        <f>IF(ISNUMBER('Resol  Asuntos'!D9/NºAsuntos!G9),'Resol  Asuntos'!D9/NºAsuntos!G9," - ")</f>
        <v>0.24611260053619302</v>
      </c>
      <c r="E9" s="444">
        <f>IF(ISNUMBER((NºAsuntos!C9+NºAsuntos!E9)/NºAsuntos!G9),(NºAsuntos!C9+NºAsuntos!E9)/NºAsuntos!G9," - ")</f>
        <v>2.8482573726541554</v>
      </c>
      <c r="G9" s="462"/>
    </row>
    <row r="10" spans="1:7" ht="21">
      <c r="A10" s="401" t="str">
        <f>Datos!A10</f>
        <v>Jdos. Violencia contra la mujer/Secc Viol. TI.</v>
      </c>
      <c r="B10" s="441">
        <f>IF(ISNUMBER(NºAsuntos!G10/NºAsuntos!E10),NºAsuntos!G10/NºAsuntos!E10," - ")</f>
        <v>0.54545454545454541</v>
      </c>
      <c r="C10" s="442">
        <f>IF(ISNUMBER(NºAsuntos!I10/NºAsuntos!G10),NºAsuntos!I10/NºAsuntos!G10," - ")</f>
        <v>25.5</v>
      </c>
      <c r="D10" s="443">
        <f>IF(ISNUMBER('Resol  Asuntos'!D10/NºAsuntos!G10),'Resol  Asuntos'!D10/NºAsuntos!G10," - ")</f>
        <v>0.16666666666666666</v>
      </c>
      <c r="E10" s="444">
        <f>IF(ISNUMBER((NºAsuntos!C10+NºAsuntos!E10)/NºAsuntos!G10),(NºAsuntos!C10+NºAsuntos!E10)/NºAsuntos!G10," - ")</f>
        <v>26.5</v>
      </c>
      <c r="G10" s="462"/>
    </row>
    <row r="11" spans="1:7">
      <c r="A11" s="401" t="str">
        <f>Datos!A11</f>
        <v xml:space="preserve">Jdos. Familia                                   </v>
      </c>
      <c r="B11" s="441">
        <f>IF(ISNUMBER(NºAsuntos!G11/NºAsuntos!E11),NºAsuntos!G11/NºAsuntos!E11," - ")</f>
        <v>1.010909090909091</v>
      </c>
      <c r="C11" s="442">
        <f>IF(ISNUMBER(NºAsuntos!I11/NºAsuntos!G11),NºAsuntos!I11/NºAsuntos!G11," - ")</f>
        <v>2.1079136690647484</v>
      </c>
      <c r="D11" s="443">
        <f>IF(ISNUMBER('Resol  Asuntos'!D11/NºAsuntos!G11),'Resol  Asuntos'!D11/NºAsuntos!G11," - ")</f>
        <v>0.22302158273381295</v>
      </c>
      <c r="E11" s="444">
        <f>IF(ISNUMBER((NºAsuntos!C11+NºAsuntos!E11)/NºAsuntos!G11),(NºAsuntos!C11+NºAsuntos!E11)/NºAsuntos!G11," - ")</f>
        <v>3.1079136690647484</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1.5732064421669107</v>
      </c>
      <c r="C13" s="858">
        <f>IF(ISNUMBER(NºAsuntos!I13/NºAsuntos!G13),NºAsuntos!I13/NºAsuntos!G13," - ")</f>
        <v>2.1288971614704515</v>
      </c>
      <c r="D13" s="859">
        <f>IF(ISNUMBER('Resol  Asuntos'!D13/NºAsuntos!G13),'Resol  Asuntos'!D13/NºAsuntos!G13," - ")</f>
        <v>0.24290367612843183</v>
      </c>
      <c r="E13" s="860">
        <f>IF(ISNUMBER((NºAsuntos!C13+NºAsuntos!E13)/NºAsuntos!G13),(NºAsuntos!C13+NºAsuntos!E13)/NºAsuntos!G13," - ")</f>
        <v>2.9790600279199628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0.88798554652213191</v>
      </c>
      <c r="C15" s="442">
        <f>IF(ISNUMBER(NºAsuntos!I15/NºAsuntos!G15),NºAsuntos!I15/NºAsuntos!G15," - ")</f>
        <v>2.3906408952187181</v>
      </c>
      <c r="D15" s="443">
        <f>IF(ISNUMBER('Resol  Asuntos'!D15/NºAsuntos!G15),'Resol  Asuntos'!D15/NºAsuntos!G15," - ")</f>
        <v>0.16276703967446593</v>
      </c>
      <c r="E15" s="444">
        <f>IF(ISNUMBER((NºAsuntos!C15+NºAsuntos!E15)/NºAsuntos!G15),(NºAsuntos!C15+NºAsuntos!E15)/NºAsuntos!G15," - ")</f>
        <v>3.3723296032553409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0.83838383838383834</v>
      </c>
      <c r="C17" s="442">
        <f>IF(ISNUMBER(NºAsuntos!I17/NºAsuntos!G17),NºAsuntos!I17/NºAsuntos!G17," - ")</f>
        <v>1.572289156626506</v>
      </c>
      <c r="D17" s="443">
        <f>IF(ISNUMBER('Resol  Asuntos'!D17/NºAsuntos!G17),'Resol  Asuntos'!D17/NºAsuntos!G17," - ")</f>
        <v>0.16265060240963855</v>
      </c>
      <c r="E17" s="444">
        <f>IF(ISNUMBER((NºAsuntos!C17+NºAsuntos!E17)/NºAsuntos!G17),(NºAsuntos!C17+NºAsuntos!E17)/NºAsuntos!G17," - ")</f>
        <v>2.572289156626506</v>
      </c>
      <c r="G17" s="462"/>
    </row>
    <row r="18" spans="1:7" ht="14.25" thickTop="1" thickBot="1">
      <c r="A18" s="847" t="str">
        <f>Datos!A18</f>
        <v>TOTAL</v>
      </c>
      <c r="B18" s="857">
        <f>IF(ISNUMBER(NºAsuntos!G18/NºAsuntos!E18),NºAsuntos!G18/NºAsuntos!E18," - ")</f>
        <v>0.88045977011494247</v>
      </c>
      <c r="C18" s="858">
        <f>IF(ISNUMBER(NºAsuntos!I18/NºAsuntos!G18),NºAsuntos!I18/NºAsuntos!G18," - ")</f>
        <v>2.2724107919930376</v>
      </c>
      <c r="D18" s="861">
        <f>IF(ISNUMBER('Resol  Asuntos'!D18/NºAsuntos!G18),'Resol  Asuntos'!D18/NºAsuntos!G18," - ")</f>
        <v>0.16275021758050479</v>
      </c>
      <c r="E18" s="860">
        <f>IF(ISNUMBER((NºAsuntos!C18+NºAsuntos!E18)/NºAsuntos!G18),(NºAsuntos!C18+NºAsuntos!E18)/NºAsuntos!G18," - ")</f>
        <v>3.2567449956483898</v>
      </c>
      <c r="G18" s="462"/>
    </row>
    <row r="19" spans="1:7" ht="15.75" customHeight="1" thickTop="1" thickBot="1">
      <c r="A19" s="792" t="str">
        <f>Datos!A19</f>
        <v>TOTAL JURISDICCIONES</v>
      </c>
      <c r="B19" s="807">
        <f>IF(ISNUMBER(NºAsuntos!G19/NºAsuntos!E19),NºAsuntos!G19/NºAsuntos!E19," - ")</f>
        <v>1.2347435417446648</v>
      </c>
      <c r="C19" s="808">
        <f>IF(ISNUMBER(NºAsuntos!I19/NºAsuntos!G19),NºAsuntos!I19/NºAsuntos!G19," - ")</f>
        <v>2.1788963007883564</v>
      </c>
      <c r="D19" s="809">
        <f>IF(ISNUMBER('Resol  Asuntos'!D19/NºAsuntos!G19),'Resol  Asuntos'!D19/NºAsuntos!G19," - ")</f>
        <v>0.21497877501516072</v>
      </c>
      <c r="E19" s="810">
        <f>IF(ISNUMBER((NºAsuntos!C19+NºAsuntos!E19)/NºAsuntos!G19),(NºAsuntos!C19+NºAsuntos!E19)/NºAsuntos!G19," - ")</f>
        <v>3.0758035172832021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qJlQ0Zwv+fawZWpp8jD/PJVSKMF9sYGHbX58XNJV+oVREWBBrG5xeJeQSJxRaLZ3QFwgdunrSy3G1zK4BBhzhg==" saltValue="Gf8SV8j79RDqWJUEsiJ7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FERROL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3 al 3</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242</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616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330</v>
      </c>
      <c r="Y9" s="333">
        <f>SUM(W9:X9)</f>
        <v>330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8112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459</v>
      </c>
      <c r="AJ9" s="228" t="str">
        <f>IF(ISNUMBER(Datos!BW9),Datos!BW9," - ")</f>
        <v xml:space="preserve"> - </v>
      </c>
      <c r="AK9" s="227" t="str">
        <f>IF(ISNUMBER(Datos!BX9),Datos!BX9," - ")</f>
        <v xml:space="preserve"> - </v>
      </c>
      <c r="AL9" s="242">
        <f>IF(ISNUMBER(NºAsuntos!G9/NºAsuntos!E9),NºAsuntos!G9/NºAsuntos!E9," - ")</f>
        <v>1.7268518518518519</v>
      </c>
      <c r="AM9" s="259">
        <f>IF(ISNUMBER(((NºAsuntos!I9/NºAsuntos!G9)*11)/factor_trimestre),((NºAsuntos!I9/NºAsuntos!G9)*11)/factor_trimestre," - ")</f>
        <v>4.0418230563002684</v>
      </c>
      <c r="AN9" s="243">
        <f>IF(ISNUMBER('Resol  Asuntos'!D9/NºAsuntos!G9),'Resol  Asuntos'!D9/NºAsuntos!G9," - ")</f>
        <v>0.24611260053619302</v>
      </c>
      <c r="AO9" s="244">
        <f>IF(ISNUMBER((NºAsuntos!C9+NºAsuntos!E9)/NºAsuntos!G9),(NºAsuntos!C9+NºAsuntos!E9)/NºAsuntos!G9," - ")</f>
        <v>2.8482573726541554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0</v>
      </c>
      <c r="F10" s="224">
        <f>IF(ISNUMBER(Datos!L10+Datos!K10-Datos!J10-K10),Datos!L10+Datos!K10-Datos!J10-K10," - ")</f>
        <v>148</v>
      </c>
      <c r="G10" s="332">
        <f>IF(ISNUMBER(Datos!I10),Datos!I10," - ")</f>
        <v>148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0</v>
      </c>
      <c r="Y10" s="333">
        <f t="shared" ref="Y10:Y12" si="0">SUM(W10:X10)</f>
        <v>6</v>
      </c>
      <c r="Z10" s="334" t="str">
        <f>IF(ISNUMBER(Datos!CC10),Datos!CC10," - ")</f>
        <v xml:space="preserve"> - </v>
      </c>
      <c r="AA10" s="331">
        <f>IF(ISNUMBER(Datos!L10),Datos!L10,"-")</f>
        <v>153</v>
      </c>
      <c r="AB10" s="333">
        <f>IF(ISNUMBER(Datos!R10),Datos!R10," - ")</f>
        <v>98</v>
      </c>
      <c r="AC10" s="333">
        <f t="shared" ref="AC10:AC12" si="1">IF(ISNUMBER(AA10+AB10),AA10+AB10," - ")</f>
        <v>251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0.54545454545454541</v>
      </c>
      <c r="AM10" s="259">
        <f>IF(ISNUMBER(((NºAsuntos!I10/NºAsuntos!G10)*11)/factor_trimestre),((NºAsuntos!I10/NºAsuntos!G10)*11)/factor_trimestre," - ")</f>
        <v>51</v>
      </c>
      <c r="AN10" s="243">
        <f>IF(ISNUMBER('Resol  Asuntos'!D10/NºAsuntos!G10),'Resol  Asuntos'!D10/NºAsuntos!G10," - ")</f>
        <v>0.16666666666666666</v>
      </c>
      <c r="AO10" s="244">
        <f>IF(ISNUMBER((NºAsuntos!C10+NºAsuntos!E10)/NºAsuntos!G10),(NºAsuntos!C10+NºAsuntos!E10)/NºAsuntos!G10," - ")</f>
        <v>26.5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1</v>
      </c>
      <c r="B11" s="274" t="s">
        <v>242</v>
      </c>
      <c r="C11" s="7" t="str">
        <f>Datos!A11</f>
        <v xml:space="preserve">Jdos. Familia                                   </v>
      </c>
      <c r="D11" s="7"/>
      <c r="E11" s="1024">
        <f>IF(ISNUMBER(Datos!AQ11),Datos!AQ11," - ")</f>
        <v>1</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21</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9</v>
      </c>
      <c r="Y11" s="333">
        <f t="shared" si="0"/>
        <v>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171</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62</v>
      </c>
      <c r="AJ11" s="230" t="str">
        <f>IF(ISNUMBER(Datos!BW11),Datos!BW11," - ")</f>
        <v xml:space="preserve"> - </v>
      </c>
      <c r="AK11" s="231" t="str">
        <f>IF(ISNUMBER(Datos!BX11),Datos!BX11," - ")</f>
        <v xml:space="preserve"> - </v>
      </c>
      <c r="AL11" s="242">
        <f>IF(ISNUMBER(NºAsuntos!G11/NºAsuntos!E11),NºAsuntos!G11/NºAsuntos!E11," - ")</f>
        <v>1.010909090909091</v>
      </c>
      <c r="AM11" s="259">
        <f>IF(ISNUMBER(((NºAsuntos!I11/NºAsuntos!G11)*11)/factor_trimestre),((NºAsuntos!I11/NºAsuntos!G11)*11)/factor_trimestre," - ")</f>
        <v>4.2158273381294968</v>
      </c>
      <c r="AN11" s="243">
        <f>IF(ISNUMBER('Resol  Asuntos'!D11/NºAsuntos!G11),'Resol  Asuntos'!D11/NºAsuntos!G11," - ")</f>
        <v>0.22302158273381295</v>
      </c>
      <c r="AO11" s="244">
        <f>IF(ISNUMBER((NºAsuntos!C11+NºAsuntos!E11)/NºAsuntos!G11),(NºAsuntos!C11+NºAsuntos!E11)/NºAsuntos!G11," - ")</f>
        <v>3.1079136690647484</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v>
      </c>
      <c r="Y12" s="333">
        <f t="shared" si="0"/>
        <v>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148</v>
      </c>
      <c r="G13" s="865">
        <f t="shared" si="3"/>
        <v>148</v>
      </c>
      <c r="H13" s="864">
        <f t="shared" si="3"/>
        <v>0</v>
      </c>
      <c r="I13" s="866">
        <f t="shared" si="3"/>
        <v>0</v>
      </c>
      <c r="J13" s="866">
        <f t="shared" si="3"/>
        <v>0</v>
      </c>
      <c r="K13" s="866">
        <f t="shared" si="3"/>
        <v>0</v>
      </c>
      <c r="L13" s="866">
        <f t="shared" si="3"/>
        <v>642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340</v>
      </c>
      <c r="Y13" s="867">
        <f t="shared" si="4"/>
        <v>346</v>
      </c>
      <c r="Z13" s="867">
        <f t="shared" si="4"/>
        <v>0</v>
      </c>
      <c r="AA13" s="867">
        <f t="shared" si="4"/>
        <v>153</v>
      </c>
      <c r="AB13" s="867">
        <f t="shared" si="4"/>
        <v>8486</v>
      </c>
      <c r="AC13" s="867">
        <f t="shared" si="4"/>
        <v>251</v>
      </c>
      <c r="AD13" s="867">
        <f t="shared" si="4"/>
        <v>0</v>
      </c>
      <c r="AE13" s="871">
        <f t="shared" si="4"/>
        <v>0</v>
      </c>
      <c r="AF13" s="864">
        <f t="shared" si="4"/>
        <v>0</v>
      </c>
      <c r="AG13" s="872">
        <f t="shared" si="4"/>
        <v>0</v>
      </c>
      <c r="AH13" s="869">
        <f t="shared" si="4"/>
        <v>0</v>
      </c>
      <c r="AI13" s="864">
        <f t="shared" si="4"/>
        <v>522</v>
      </c>
      <c r="AJ13" s="866">
        <f t="shared" si="4"/>
        <v>0</v>
      </c>
      <c r="AK13" s="869">
        <f>SUBTOTAL(9,AK9:AK12)</f>
        <v>0</v>
      </c>
      <c r="AL13" s="873">
        <f>IF(ISNUMBER(NºAsuntos!G13/NºAsuntos!E13),NºAsuntos!G13/NºAsuntos!E13," - ")</f>
        <v>1.5732064421669107</v>
      </c>
      <c r="AM13" s="873">
        <f>IF(ISNUMBER(((NºAsuntos!I13/NºAsuntos!G13)*11)/factor_trimestre),((NºAsuntos!I13/NºAsuntos!G13)*11)/factor_trimestre," - ")</f>
        <v>4.257794322940903</v>
      </c>
      <c r="AN13" s="874">
        <f>IF(ISNUMBER('Resol  Asuntos'!D13/NºAsuntos!G13),'Resol  Asuntos'!D13/NºAsuntos!G13," - ")</f>
        <v>0.24290367612843183</v>
      </c>
      <c r="AO13" s="875">
        <f>IF(ISNUMBER((NºAsuntos!C13+NºAsuntos!E13)/NºAsuntos!G13),(NºAsuntos!C13+NºAsuntos!E13)/NºAsuntos!G13," - ")</f>
        <v>2.9790600279199628</v>
      </c>
      <c r="AP13" s="876" t="str">
        <f t="shared" si="2"/>
        <v xml:space="preserve"> - </v>
      </c>
      <c r="AQ13" s="876">
        <f>IF(ISNUMBER((H13-W13+K13)/(F13)),(H13-W13+K13)/(F13)," - ")</f>
        <v>-4.0540540540540543E-2</v>
      </c>
      <c r="AR13" s="877">
        <f>IF(ISNUMBER((Datos!P13-Datos!Q13)/(Datos!R13-Datos!P13+Datos!Q13)),(Datos!P13-Datos!Q13)/(Datos!R13-Datos!P13+Datos!Q13)," - ")</f>
        <v>3.6901270772238516E-2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392</v>
      </c>
      <c r="C15" s="159" t="str">
        <f>Datos!A15</f>
        <v xml:space="preserve">Jdos. Instrucción                               </v>
      </c>
      <c r="D15" s="159"/>
      <c r="E15" s="1024">
        <f>IF(ISNUMBER(Datos!AQ15),Datos!AQ15," - ")</f>
        <v>3</v>
      </c>
      <c r="F15" s="224">
        <f>IF(ISNUMBER(AA15+W15-Datos!J15-K15),AA15+W15-Datos!J15-K15," - ")</f>
        <v>2226</v>
      </c>
      <c r="G15" s="332">
        <f>IF(ISNUMBER(IF(D_I="SI",Datos!I15,Datos!I15+Datos!AC15)),IF(D_I="SI",Datos!I15,Datos!I15+Datos!AC15)," - ")</f>
        <v>2208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59</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983</v>
      </c>
      <c r="X15" s="225">
        <f>IF(ISNUMBER(Datos!Q15),Datos!Q15," - ")</f>
        <v>43</v>
      </c>
      <c r="Y15" s="333">
        <f>SUM(W15)</f>
        <v>983</v>
      </c>
      <c r="Z15" s="334" t="str">
        <f>IF(ISNUMBER(Datos!CC15),Datos!CC15," - ")</f>
        <v xml:space="preserve"> - </v>
      </c>
      <c r="AA15" s="331">
        <f>IF(ISNUMBER(IF(D_I="SI",Datos!L15,Datos!L15+Datos!AF15)),IF(D_I="SI",Datos!L15,Datos!L15+Datos!AF15)," - ")</f>
        <v>2350</v>
      </c>
      <c r="AB15" s="333">
        <f>IF(ISNUMBER(Datos!R15),Datos!R15," - ")</f>
        <v>292</v>
      </c>
      <c r="AC15" s="333">
        <f t="shared" ref="AC15:AC17" si="6">IF(ISNUMBER(AA15+AB15),AA15+AB15," - ")</f>
        <v>2642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160</v>
      </c>
      <c r="AJ15" s="230" t="str">
        <f>IF(ISNUMBER(Datos!BW15),Datos!BW15," - ")</f>
        <v xml:space="preserve"> - </v>
      </c>
      <c r="AK15" s="231" t="str">
        <f>IF(ISNUMBER(Datos!BX15),Datos!BX15," - ")</f>
        <v xml:space="preserve"> - </v>
      </c>
      <c r="AL15" s="242">
        <f>IF(ISNUMBER(NºAsuntos!G15/NºAsuntos!E15),NºAsuntos!G15/NºAsuntos!E15," - ")</f>
        <v>0.88798554652213191</v>
      </c>
      <c r="AM15" s="259">
        <f>IF(ISNUMBER(((NºAsuntos!I15/NºAsuntos!G15)*11)/factor_trimestre),((NºAsuntos!I15/NºAsuntos!G15)*11)/factor_trimestre," - ")</f>
        <v>4.7812817904374363</v>
      </c>
      <c r="AN15" s="243">
        <f>IF(ISNUMBER('Resol  Asuntos'!D15/NºAsuntos!G15),'Resol  Asuntos'!D15/NºAsuntos!G15," - ")</f>
        <v>0.16276703967446593</v>
      </c>
      <c r="AO15" s="244">
        <f>IF(ISNUMBER((NºAsuntos!C15+NºAsuntos!E15)/NºAsuntos!G15),(NºAsuntos!C15+NºAsuntos!E15)/NºAsuntos!G15," - ")</f>
        <v>3.3723296032553409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229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166</v>
      </c>
      <c r="X17" s="225">
        <f>IF(ISNUMBER(Datos!Q17),Datos!Q17," - ")</f>
        <v>0</v>
      </c>
      <c r="Y17" s="333">
        <f t="shared" si="7"/>
        <v>166</v>
      </c>
      <c r="Z17" s="334" t="str">
        <f>IF(ISNUMBER(Datos!CC17),Datos!CC17," - ")</f>
        <v xml:space="preserve"> - </v>
      </c>
      <c r="AA17" s="331">
        <f>IF(ISNUMBER(Datos!L17),Datos!L17,"-")</f>
        <v>261</v>
      </c>
      <c r="AB17" s="333">
        <f>IF(ISNUMBER(Datos!R17),Datos!R17," - ")</f>
        <v>7</v>
      </c>
      <c r="AC17" s="333">
        <f t="shared" si="6"/>
        <v>268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0.83838383838383834</v>
      </c>
      <c r="AM17" s="259">
        <f>IF(ISNUMBER(((NºAsuntos!I17/NºAsuntos!G17)*11)/factor_trimestre),((NºAsuntos!I17/NºAsuntos!G17)*11)/factor_trimestre," - ")</f>
        <v>3.1445783132530121</v>
      </c>
      <c r="AN17" s="243">
        <f>IF(ISNUMBER('Resol  Asuntos'!D17/NºAsuntos!G17),'Resol  Asuntos'!D17/NºAsuntos!G17," - ")</f>
        <v>0.16265060240963855</v>
      </c>
      <c r="AO17" s="244">
        <f>IF(ISNUMBER((NºAsuntos!C17+NºAsuntos!E17)/NºAsuntos!G17),(NºAsuntos!C17+NºAsuntos!E17)/NºAsuntos!G17," - ")</f>
        <v>2.572289156626506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2226</v>
      </c>
      <c r="G18" s="865">
        <f>SUBTOTAL(9,G15:G17)</f>
        <v>2437</v>
      </c>
      <c r="H18" s="864">
        <f t="shared" ref="H18:O18" si="10">SUBTOTAL(9,H14:H17)</f>
        <v>0</v>
      </c>
      <c r="I18" s="866">
        <f t="shared" si="10"/>
        <v>0</v>
      </c>
      <c r="J18" s="866">
        <f t="shared" si="10"/>
        <v>0</v>
      </c>
      <c r="K18" s="866">
        <f t="shared" si="10"/>
        <v>0</v>
      </c>
      <c r="L18" s="866">
        <f t="shared" si="10"/>
        <v>64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1149</v>
      </c>
      <c r="X18" s="866">
        <f t="shared" si="11"/>
        <v>43</v>
      </c>
      <c r="Y18" s="867">
        <f t="shared" si="11"/>
        <v>1149</v>
      </c>
      <c r="Z18" s="867">
        <f t="shared" si="11"/>
        <v>0</v>
      </c>
      <c r="AA18" s="867">
        <f t="shared" si="11"/>
        <v>2611</v>
      </c>
      <c r="AB18" s="867">
        <f t="shared" si="11"/>
        <v>299</v>
      </c>
      <c r="AC18" s="867">
        <f t="shared" si="11"/>
        <v>2910</v>
      </c>
      <c r="AD18" s="867">
        <f t="shared" si="11"/>
        <v>0</v>
      </c>
      <c r="AE18" s="871">
        <f t="shared" si="11"/>
        <v>0</v>
      </c>
      <c r="AF18" s="864">
        <f t="shared" si="11"/>
        <v>0</v>
      </c>
      <c r="AG18" s="872">
        <f t="shared" si="11"/>
        <v>0</v>
      </c>
      <c r="AH18" s="869">
        <f t="shared" si="11"/>
        <v>0</v>
      </c>
      <c r="AI18" s="864">
        <f t="shared" si="11"/>
        <v>187</v>
      </c>
      <c r="AJ18" s="866">
        <f t="shared" si="11"/>
        <v>0</v>
      </c>
      <c r="AK18" s="869">
        <f t="shared" si="11"/>
        <v>0</v>
      </c>
      <c r="AL18" s="873">
        <f>IF(ISNUMBER(NºAsuntos!G18/NºAsuntos!E18),NºAsuntos!G18/NºAsuntos!E18," - ")</f>
        <v>0.88045977011494247</v>
      </c>
      <c r="AM18" s="873">
        <f>IF(ISNUMBER(((NºAsuntos!I18/NºAsuntos!G18)*11)/factor_trimestre),((NºAsuntos!I18/NºAsuntos!G18)*11)/factor_trimestre," - ")</f>
        <v>4.5448215839860753</v>
      </c>
      <c r="AN18" s="874">
        <f>IF(ISNUMBER('Resol  Asuntos'!D18/NºAsuntos!G18),'Resol  Asuntos'!D18/NºAsuntos!G18," - ")</f>
        <v>0.16275021758050479</v>
      </c>
      <c r="AO18" s="875">
        <f>IF(ISNUMBER((NºAsuntos!C18+NºAsuntos!E18)/NºAsuntos!G18),(NºAsuntos!C18+NºAsuntos!E18)/NºAsuntos!G18," - ")</f>
        <v>3.2567449956483898</v>
      </c>
      <c r="AP18" s="876" t="str">
        <f t="shared" si="2"/>
        <v xml:space="preserve"> - </v>
      </c>
      <c r="AQ18" s="876">
        <f>IF(ISNUMBER((H18-W18+K18)/(F18)),(H18-W18+K18)/(F18)," - ")</f>
        <v>-0.51617250673854442</v>
      </c>
      <c r="AR18" s="877">
        <f>IF(ISNUMBER((Datos!P18-Datos!Q18)/(Datos!R18-Datos!P18+Datos!Q18)),(Datos!P18-Datos!Q18)/(Datos!R18-Datos!P18+Datos!Q18)," - ")</f>
        <v>7.5539568345323743E-2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9</v>
      </c>
      <c r="F19" s="819">
        <f t="shared" si="13"/>
        <v>2374</v>
      </c>
      <c r="G19" s="820">
        <f t="shared" si="13"/>
        <v>2585</v>
      </c>
      <c r="H19" s="819">
        <f t="shared" si="13"/>
        <v>0</v>
      </c>
      <c r="I19" s="821">
        <f t="shared" si="13"/>
        <v>0</v>
      </c>
      <c r="J19" s="821">
        <f t="shared" si="13"/>
        <v>0</v>
      </c>
      <c r="K19" s="880">
        <f t="shared" si="13"/>
        <v>0</v>
      </c>
      <c r="L19" s="821">
        <f t="shared" si="13"/>
        <v>706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1155</v>
      </c>
      <c r="X19" s="820">
        <f t="shared" si="14"/>
        <v>383</v>
      </c>
      <c r="Y19" s="827">
        <f t="shared" si="14"/>
        <v>1495</v>
      </c>
      <c r="Z19" s="827">
        <f t="shared" si="14"/>
        <v>0</v>
      </c>
      <c r="AA19" s="827">
        <f t="shared" si="14"/>
        <v>2764</v>
      </c>
      <c r="AB19" s="827">
        <f t="shared" si="14"/>
        <v>8785</v>
      </c>
      <c r="AC19" s="827">
        <f t="shared" si="14"/>
        <v>3161</v>
      </c>
      <c r="AD19" s="827">
        <f t="shared" si="14"/>
        <v>0</v>
      </c>
      <c r="AE19" s="829">
        <f t="shared" si="14"/>
        <v>0</v>
      </c>
      <c r="AF19" s="830">
        <f t="shared" si="14"/>
        <v>0</v>
      </c>
      <c r="AG19" s="831">
        <f t="shared" si="14"/>
        <v>0</v>
      </c>
      <c r="AH19" s="829">
        <f t="shared" si="14"/>
        <v>0</v>
      </c>
      <c r="AI19" s="819">
        <f t="shared" si="14"/>
        <v>709</v>
      </c>
      <c r="AJ19" s="819">
        <f t="shared" si="14"/>
        <v>0</v>
      </c>
      <c r="AK19" s="829">
        <f t="shared" si="14"/>
        <v>0</v>
      </c>
      <c r="AL19" s="883">
        <f>IF(ISNUMBER(NºAsuntos!G19/NºAsuntos!E19),NºAsuntos!G19/NºAsuntos!E19," - ")</f>
        <v>1.2347435417446648</v>
      </c>
      <c r="AM19" s="884">
        <f>IF(ISNUMBER(((NºAsuntos!I19/NºAsuntos!G19)*11)/factor_trimestre),((NºAsuntos!I19/NºAsuntos!G19)*11)/factor_trimestre," - ")</f>
        <v>4.3577926015767128</v>
      </c>
      <c r="AN19" s="884">
        <f>IF(ISNUMBER('Resol  Asuntos'!D19/NºAsuntos!G19),'Resol  Asuntos'!D19/NºAsuntos!G19," - ")</f>
        <v>0.21497877501516072</v>
      </c>
      <c r="AO19" s="885">
        <f>IF(ISNUMBER((NºAsuntos!C19+NºAsuntos!E19)/NºAsuntos!G19),(NºAsuntos!C19+NºAsuntos!E19)/NºAsuntos!G19," - ")</f>
        <v>3.0758035172832021</v>
      </c>
      <c r="AP19" s="886" t="str">
        <f t="shared" si="2"/>
        <v xml:space="preserve"> - </v>
      </c>
      <c r="AQ19" s="887">
        <f>IF(OR(ISNUMBER(FIND("01",Criterios!A8,1)),ISNUMBER(FIND("02",Criterios!A8,1)),ISNUMBER(FIND("03",Criterios!A8,1)),ISNUMBER(FIND("04",Criterios!A8,1))),(I19-W19+K19)/(F19-K19),(H19-W19+K19)/(F19-K19))</f>
        <v>-0.48652064026958719</v>
      </c>
      <c r="AR19" s="888">
        <f>IF(ISNUMBER((Datos!P19-Datos!Q19)/(Datos!R19-Datos!P19+Datos!Q19)),(Datos!P19-Datos!Q19)/(Datos!R19-Datos!P19+Datos!Q19)," - ")</f>
        <v>3.8170645237532497E-2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1034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2.3452078799117149</v>
      </c>
      <c r="F21" s="251">
        <f>IF(ISNUMBER(STDEV(F8:F18)),STDEV(F8:F18),"-")</f>
        <v>1199.7338593760423</v>
      </c>
      <c r="G21" s="252">
        <f>IF(ISNUMBER(STDEV(G8:G18)),STDEV(G8:G18),"-")</f>
        <v>1179.48102994495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558.32293522655868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205.97069833213794</v>
      </c>
      <c r="AJ21" s="251">
        <f t="shared" si="18"/>
        <v>0</v>
      </c>
      <c r="AK21" s="253">
        <f t="shared" si="18"/>
        <v>0</v>
      </c>
      <c r="AL21" s="248">
        <f t="shared" si="18"/>
        <v>0.4254231892213593</v>
      </c>
      <c r="AM21" s="249">
        <f t="shared" si="18"/>
        <v>17.709701429739074</v>
      </c>
      <c r="AN21" s="249">
        <f t="shared" si="18"/>
        <v>4.0042148390102762E-2</v>
      </c>
      <c r="AO21" s="250">
        <f t="shared" si="18"/>
        <v>8.877499031104275</v>
      </c>
      <c r="AP21" s="290" t="str">
        <f t="shared" si="18"/>
        <v>-</v>
      </c>
      <c r="AQ21" s="291">
        <f t="shared" si="18"/>
        <v>0.33632258864769926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si0J3pthXS3dSY48595N+I2ox48eD5Ov8Q858g9k7dXfAkLdqh5IQ0/GnfiWTs3I0e2h72P7/SBto8XBgKRUQ==" saltValue="S+drf5dFyzX0RZjAqHI4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FERROL</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-8.74751491053678E-2</v>
      </c>
      <c r="I9" s="349">
        <f>IF(ISNUMBER((Tasas!C9-Datos!BE9)/Datos!BE9),(Tasas!C9-Datos!BE9)/Datos!BE9," - ")</f>
        <v>-0.16405563871282461</v>
      </c>
      <c r="J9" s="348">
        <f>IF(ISNUMBER((Tasas!D9-Datos!BF9)/Datos!BF9),(Tasas!D9-Datos!BF9)/Datos!BF9," - ")</f>
        <v>-0.18621541810019901</v>
      </c>
      <c r="K9" s="350">
        <f>IF(ISNUMBER((Tasas!E9-Datos!BG9)/Datos!BG9),(Tasas!E9-Datos!BG9)/Datos!BG9," - ")</f>
        <v>-0.16672754754375252</v>
      </c>
      <c r="M9" t="e">
        <f>IF(Monitorios="SI",Datos!CE9,0)</f>
        <v>#REF!</v>
      </c>
      <c r="N9" t="e">
        <f>IF(Monitorios="SI",Datos!CF9,0)</f>
        <v>#REF!</v>
      </c>
      <c r="O9" t="e">
        <f>IF(Monitorios="SI",Datos!CG9,0)</f>
        <v>#REF!</v>
      </c>
      <c r="P9" t="e">
        <f>IF(Monitorios="SI",Datos!CH9,0)</f>
        <v>#REF!</v>
      </c>
      <c r="Q9">
        <f>IF(J_V="SI",0,Datos!AG9)</f>
        <v>121</v>
      </c>
      <c r="R9">
        <f>IF(J_V="SI",0,Datos!AH9)</f>
        <v>116</v>
      </c>
      <c r="S9">
        <f>IF(J_V="SI",0,Datos!AI9)</f>
        <v>181</v>
      </c>
      <c r="T9">
        <f>IF(J_V="SI",0,Datos!AJ9)</f>
        <v>56</v>
      </c>
    </row>
    <row r="10" spans="2:20" ht="14.25">
      <c r="B10" s="274" t="s">
        <v>242</v>
      </c>
      <c r="C10" s="7" t="str">
        <f>Datos!A10</f>
        <v>Jdos. Violencia contra la mujer/Secc Viol. TI.</v>
      </c>
      <c r="D10" s="351">
        <f>IF(ISNUMBER((Datos!I10-Datos!S10)/Datos!S10),(Datos!I10-Datos!S10)/Datos!S10," - ")</f>
        <v>0</v>
      </c>
      <c r="E10" s="347">
        <f>IF(ISNUMBER((Datos!J10-Datos!T10)/Datos!T10),(Datos!J10-Datos!T10)/Datos!T10," - ")</f>
        <v>-0.21428571428571427</v>
      </c>
      <c r="F10" s="347">
        <f>IF(ISNUMBER((Datos!K10-Datos!U10)/Datos!U10),(Datos!K10-Datos!U10)/Datos!U10," - ")</f>
        <v>-0.68421052631578949</v>
      </c>
      <c r="G10" s="348">
        <f>IF(ISNUMBER((Datos!L10-Datos!V10)/Datos!V10),(Datos!L10-Datos!V10)/Datos!V10," - ")</f>
        <v>6.9930069930069935E-2</v>
      </c>
      <c r="H10" s="229">
        <f>IF(ISNUMBER((Datos!M10-Datos!W10)/Datos!W10),(Datos!M10-Datos!W10)/Datos!W10," - ")</f>
        <v>-0.75</v>
      </c>
      <c r="I10" s="349">
        <f>IF(ISNUMBER((Tasas!C10-Datos!BE10)/Datos!BE10),(Tasas!C10-Datos!BE10)/Datos!BE10," - ")</f>
        <v>2.3881118881118879</v>
      </c>
      <c r="J10" s="348">
        <f>IF(ISNUMBER((Tasas!D10-Datos!BF10)/Datos!BF10),(Tasas!D10-Datos!BF10)/Datos!BF10," - ")</f>
        <v>-0.20833333333333334</v>
      </c>
      <c r="K10" s="350">
        <f>IF(ISNUMBER((Tasas!E10-Datos!BG10)/Datos!BG10),(Tasas!E10-Datos!BG10)/Datos!BG10," - ")</f>
        <v>2.1080246913580245</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0.21568627450980393</v>
      </c>
      <c r="I11" s="349">
        <f>IF(ISNUMBER((Tasas!C11-Datos!BE11)/Datos!BE11),(Tasas!C11-Datos!BE11)/Datos!BE11," - ")</f>
        <v>7.538664077979769E-2</v>
      </c>
      <c r="J11" s="348">
        <f>IF(ISNUMBER((Tasas!D11-Datos!BF11)/Datos!BF11),(Tasas!D11-Datos!BF11)/Datos!BF11," - ")</f>
        <v>-0.50756834532374107</v>
      </c>
      <c r="K11" s="350">
        <f>IF(ISNUMBER((Tasas!E11-Datos!BG11)/Datos!BG11),(Tasas!E11-Datos!BG11)/Datos!BG11," - ")</f>
        <v>4.991942798270569E-2</v>
      </c>
      <c r="M11" t="e">
        <f>IF(Monitorios="SI",Datos!CE11,0)</f>
        <v>#REF!</v>
      </c>
      <c r="N11" t="e">
        <f>IF(Monitorios="SI",Datos!CF11,0)</f>
        <v>#REF!</v>
      </c>
      <c r="O11" t="e">
        <f>IF(Monitorios="SI",Datos!CG11,0)</f>
        <v>#REF!</v>
      </c>
      <c r="P11" t="e">
        <f>IF(Monitorios="SI",Datos!CH11,0)</f>
        <v>#REF!</v>
      </c>
      <c r="Q11">
        <f>IF(J_V="SI",0,Datos!AG11)</f>
        <v>99</v>
      </c>
      <c r="R11">
        <f>IF(J_V="SI",0,Datos!AH11)</f>
        <v>72</v>
      </c>
      <c r="S11">
        <f>IF(J_V="SI",0,Datos!AI11)</f>
        <v>72</v>
      </c>
      <c r="T11">
        <f>IF(J_V="SI",0,Datos!AJ11)</f>
        <v>99</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-6.4516129032258063E-2</v>
      </c>
      <c r="I13" s="356">
        <f>IF(ISNUMBER((Tasas!C13-Datos!BE13)/Datos!BE13),(Tasas!C13-Datos!BE13)/Datos!BE13," - ")</f>
        <v>-0.12693143102281731</v>
      </c>
      <c r="J13" s="354">
        <f>IF(ISNUMBER((Tasas!D13-Datos!BF13)/Datos!BF13),(Tasas!D13-Datos!BF13)/Datos!BF13," - ")</f>
        <v>-0.24990376424791566</v>
      </c>
      <c r="K13" s="357">
        <f>IF(ISNUMBER((Tasas!E13-Datos!BG13)/Datos!BG13),(Tasas!E13-Datos!BG13)/Datos!BG13," - ")</f>
        <v>-0.13372867325149207</v>
      </c>
      <c r="M13" t="e">
        <f>IF(Monitorios="SI",Datos!CE13,0)</f>
        <v>#REF!</v>
      </c>
      <c r="N13" t="e">
        <f>IF(Monitorios="SI",Datos!CF13,0)</f>
        <v>#REF!</v>
      </c>
      <c r="O13" t="e">
        <f>IF(Monitorios="SI",Datos!CG13,0)</f>
        <v>#REF!</v>
      </c>
      <c r="P13" t="e">
        <f>IF(Monitorios="SI",Datos!CH13,0)</f>
        <v>#REF!</v>
      </c>
      <c r="Q13">
        <f>IF(J_V="SI",0,Datos!AG13)</f>
        <v>220</v>
      </c>
      <c r="R13">
        <f>IF(J_V="SI",0,Datos!AH13)</f>
        <v>188</v>
      </c>
      <c r="S13">
        <f>IF(J_V="SI",0,Datos!AI13)</f>
        <v>253</v>
      </c>
      <c r="T13">
        <f>IF(J_V="SI",0,Datos!AJ13)</f>
        <v>155</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-0.11432009626955475</v>
      </c>
      <c r="E15" s="347">
        <f>IF(ISNUMBER(
   IF(D_I="SI",(Datos!J15-Datos!T15)/Datos!T15,(Datos!J15+Datos!AD15-(Datos!T15+Datos!AL15))/(Datos!T15+Datos!AL15))
     ),IF(D_I="SI",(Datos!J15-Datos!T15)/Datos!T15,(Datos!J15+Datos!AD15-(Datos!T15+Datos!AL15))/(Datos!T15+Datos!AL15))," - ")</f>
        <v>6.1361457334611694E-2</v>
      </c>
      <c r="F15" s="347">
        <f>IF(ISNUMBER(
   IF(D_I="SI",(Datos!K15-Datos!U15)/Datos!U15,(Datos!K15+Datos!AE15-(Datos!U15+Datos!AM15))/(Datos!U15+Datos!AM15))
     ),IF(D_I="SI",(Datos!K15-Datos!U15)/Datos!U15,(Datos!K15+Datos!AE15-(Datos!U15+Datos!AM15))/(Datos!U15+Datos!AM15))," - ")</f>
        <v>0.10325476992143659</v>
      </c>
      <c r="G15" s="348">
        <f>IF(ISNUMBER(
   IF(D_I="SI",(Datos!L15-Datos!V15)/Datos!V15,(Datos!L15+Datos!AF15-(Datos!V15+Datos!AN15))/(Datos!V15+Datos!AN15))
     ),IF(D_I="SI",(Datos!L15-Datos!V15)/Datos!V15,(Datos!L15+Datos!AF15-(Datos!V15+Datos!AN15))/(Datos!V15+Datos!AN15))," - ")</f>
        <v>-0.11886014248218972</v>
      </c>
      <c r="H15" s="229">
        <f>IF(ISNUMBER((Datos!M15-Datos!W15)/Datos!W15),(Datos!M15-Datos!W15)/Datos!W15," - ")</f>
        <v>1.2658227848101266E-2</v>
      </c>
      <c r="I15" s="349">
        <f>IF(ISNUMBER((Tasas!C15-Datos!BE15)/Datos!BE15),(Tasas!C15-Datos!BE15)/Datos!BE15," - ")</f>
        <v>-0.20132694501691864</v>
      </c>
      <c r="J15" s="348">
        <f>IF(ISNUMBER((Tasas!D15-Datos!BF15)/Datos!BF15),(Tasas!D15-Datos!BF15)/Datos!BF15," - ")</f>
        <v>-8.2117516772473767E-2</v>
      </c>
      <c r="K15" s="350">
        <f>IF(ISNUMBER((Tasas!E15-Datos!BG15)/Datos!BG15),(Tasas!E15-Datos!BG15)/Datos!BG15," - ")</f>
        <v>-0.15024160732451677</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0.25824175824175827</v>
      </c>
      <c r="E17" s="347">
        <f>IF(ISNUMBER(
   IF(D_I="SI",(Datos!J17-Datos!T17)/Datos!T17,(Datos!J17+Datos!AD17-(Datos!T17+Datos!AL17))/(Datos!T17+Datos!AL17))
     ),IF(D_I="SI",(Datos!J17-Datos!T17)/Datos!T17,(Datos!J17+Datos!AD17-(Datos!T17+Datos!AL17))/(Datos!T17+Datos!AL17))," - ")</f>
        <v>1.1758241758241759</v>
      </c>
      <c r="F17" s="347">
        <f>IF(ISNUMBER(
   IF(D_I="SI",(Datos!K17-Datos!U17)/Datos!U17,(Datos!K17+Datos!AE17-(Datos!U17+Datos!AM17))/(Datos!U17+Datos!AM17))
     ),IF(D_I="SI",(Datos!K17-Datos!U17)/Datos!U17,(Datos!K17+Datos!AE17-(Datos!U17+Datos!AM17))/(Datos!U17+Datos!AM17))," - ")</f>
        <v>1.024390243902439</v>
      </c>
      <c r="G17" s="348">
        <f>IF(ISNUMBER(
   IF(D_I="SI",(Datos!L17-Datos!V17)/Datos!V17,(Datos!L17+Datos!AF17-(Datos!V17+Datos!AN17))/(Datos!V17+Datos!AN17))
     ),IF(D_I="SI",(Datos!L17-Datos!V17)/Datos!V17,(Datos!L17+Datos!AF17-(Datos!V17+Datos!AN17))/(Datos!V17+Datos!AN17))," - ")</f>
        <v>0.36649214659685864</v>
      </c>
      <c r="H17" s="229">
        <f>IF(ISNUMBER((Datos!M17-Datos!W17)/Datos!W17),(Datos!M17-Datos!W17)/Datos!W17," - ")</f>
        <v>0.42105263157894735</v>
      </c>
      <c r="I17" s="349">
        <f>IF(ISNUMBER((Tasas!C17-Datos!BE17)/Datos!BE17),(Tasas!C17-Datos!BE17)/Datos!BE17," - ")</f>
        <v>-0.32498580710275654</v>
      </c>
      <c r="J17" s="348">
        <f>IF(ISNUMBER((Tasas!D17-Datos!BF17)/Datos!BF17),(Tasas!D17-Datos!BF17)/Datos!BF17," - ")</f>
        <v>-0.2980342422320863</v>
      </c>
      <c r="K17" s="350">
        <f>IF(ISNUMBER((Tasas!E17-Datos!BG17)/Datos!BG17),(Tasas!E17-Datos!BG17)/Datos!BG17," - ")</f>
        <v>-0.22737102255174541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-8.8971962616822428E-2</v>
      </c>
      <c r="E18" s="353">
        <f>IF(ISNUMBER(
   IF(D_I="SI",(Datos!J18-Datos!T18)/Datos!T18,(Datos!J18+Datos!AD18-(Datos!T18+Datos!AL18))/(Datos!T18+Datos!AL18))
     ),IF(D_I="SI",(Datos!J18-Datos!T18)/Datos!T18,(Datos!J18+Datos!AD18-(Datos!T18+Datos!AL18))/(Datos!T18+Datos!AL18))," - ")</f>
        <v>0.15079365079365079</v>
      </c>
      <c r="F18" s="353">
        <f>IF(ISNUMBER(
   IF(D_I="SI",(Datos!K18-Datos!U18)/Datos!U18,(Datos!K18+Datos!AE18-(Datos!U18+Datos!AM18))/(Datos!U18+Datos!AM18))
     ),IF(D_I="SI",(Datos!K18-Datos!U18)/Datos!U18,(Datos!K18+Datos!AE18-(Datos!U18+Datos!AM18))/(Datos!U18+Datos!AM18))," - ")</f>
        <v>0.18088386433710174</v>
      </c>
      <c r="G18" s="354">
        <f>IF(ISNUMBER(
   IF(D_I="SI",(Datos!L18-Datos!V18)/Datos!V18,(Datos!L18+Datos!AF18-(Datos!V18+Datos!AN18))/(Datos!V18+Datos!AN18))
     ),IF(D_I="SI",(Datos!L18-Datos!V18)/Datos!V18,(Datos!L18+Datos!AF18-(Datos!V18+Datos!AN18))/(Datos!V18+Datos!AN18))," - ")</f>
        <v>-8.642407277816655E-2</v>
      </c>
      <c r="H18" s="355">
        <f>IF(ISNUMBER((Datos!M18-Datos!W18)/Datos!W18),(Datos!M18-Datos!W18)/Datos!W18," - ")</f>
        <v>5.6497175141242938E-2</v>
      </c>
      <c r="I18" s="356">
        <f>IF(ISNUMBER((Tasas!C18-Datos!BE18)/Datos!BE18),(Tasas!C18-Datos!BE18)/Datos!BE18," - ")</f>
        <v>-0.22636259600796865</v>
      </c>
      <c r="J18" s="354">
        <f>IF(ISNUMBER((Tasas!D18-Datos!BF18)/Datos!BF18),(Tasas!D18-Datos!BF18)/Datos!BF18," - ")</f>
        <v>-0.10533354968456972</v>
      </c>
      <c r="K18" s="357">
        <f>IF(ISNUMBER((Tasas!E18-Datos!BG18)/Datos!BG18),(Tasas!E18-Datos!BG18)/Datos!BG18," - ")</f>
        <v>-0.16807222873040609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7.9445327170301894E-2</v>
      </c>
      <c r="E19" s="362">
        <f>IF(ISNUMBER(
   IF(J_V="SI",(Datos!J19-Datos!T19)/Datos!T19,(Datos!J19+Datos!Z19-(Datos!T19+Datos!AH19))/(Datos!T19+Datos!AH19))
     ),IF(J_V="SI",(Datos!J19-Datos!T19)/Datos!T19,(Datos!J19+Datos!Z19-(Datos!T19+Datos!AH19))/(Datos!T19+Datos!AH19))," - ")</f>
        <v>-0.18542238487343701</v>
      </c>
      <c r="F19" s="362">
        <f>IF(ISNUMBER(
   IF(J_V="SI",(Datos!K19-Datos!U19)/Datos!U19,(Datos!K19+Datos!AA19-(Datos!U19+Datos!AI19))/(Datos!U19+Datos!AI19))
     ),IF(J_V="SI",(Datos!K19-Datos!U19)/Datos!U19,(Datos!K19+Datos!AA19-(Datos!U19+Datos!AI19))/(Datos!U19+Datos!AI19))," - ")</f>
        <v>0.16454802259887005</v>
      </c>
      <c r="G19" s="363">
        <f>IF(ISNUMBER(
   IF(J_V="SI",(Datos!L19-Datos!V19)/Datos!V19,(Datos!L19+Datos!AB19-(Datos!V19+Datos!AJ19))/(Datos!V19+Datos!AJ19))
     ),IF(J_V="SI",(Datos!L19-Datos!V19)/Datos!V19,(Datos!L19+Datos!AB19-(Datos!V19+Datos!AJ19))/(Datos!V19+Datos!AJ19))," - ")</f>
        <v>-2.7736436206196726E-2</v>
      </c>
      <c r="H19" s="364">
        <f>IF(ISNUMBER((Datos!M19-Datos!W19)/Datos!W19),(Datos!M19-Datos!W19)/Datos!W19," - ")</f>
        <v>-3.5374149659863949E-2</v>
      </c>
      <c r="I19" s="361">
        <f>IF(ISNUMBER((Tasas!C19-Datos!BE19)/Datos!BE19),(Tasas!C19-Datos!BE19)/Datos!BE19," - ")</f>
        <v>-0.16511509622072454</v>
      </c>
      <c r="J19" s="362">
        <f>IF(ISNUMBER((Tasas!D19-Datos!BF19)/Datos!BF19),(Tasas!D19-Datos!BF19)/Datos!BF19," - ")</f>
        <v>-0.21845970366760578</v>
      </c>
      <c r="K19" s="363">
        <f>IF(ISNUMBER((Tasas!E19-Datos!BG19)/Datos!BG19),(Tasas!E19-Datos!BG19)/Datos!BG19," - ")</f>
        <v>-0.14617961566888571</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0.17021460266180902</v>
      </c>
      <c r="E21" s="277">
        <f t="shared" si="1"/>
        <v>0.60843944220609492</v>
      </c>
      <c r="F21" s="277">
        <f t="shared" si="1"/>
        <v>0.69844030642095845</v>
      </c>
      <c r="G21" s="278">
        <f t="shared" si="1"/>
        <v>0.22169601418509502</v>
      </c>
      <c r="H21" s="284">
        <f t="shared" si="1"/>
        <v>0.36422951786576463</v>
      </c>
      <c r="I21" s="276">
        <f t="shared" si="1"/>
        <v>0.97135515822026741</v>
      </c>
      <c r="J21" s="277">
        <f t="shared" si="1"/>
        <v>0.14245373916560378</v>
      </c>
      <c r="K21" s="278">
        <f t="shared" si="1"/>
        <v>0.85133497314438178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9zz6lw3Ie9Du8bbG01EobUXcP+dLj6S12wKQ37dSHwQBwgmvD7QlZYEBxx5qhCYY+CKysNyYOFkKZF4ha2T07g==" saltValue="UWLyBlwHUvoCiBpHdUsS8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